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elancoah-my.sharepoint.com/personal/sara_place_elancoah_com/Documents/Ag and GHG Statistics/"/>
    </mc:Choice>
  </mc:AlternateContent>
  <xr:revisionPtr revIDLastSave="0" documentId="8_{A5F95D3A-F9AB-4E44-B951-9C3F914CA99D}" xr6:coauthVersionLast="47" xr6:coauthVersionMax="47" xr10:uidLastSave="{00000000-0000-0000-0000-000000000000}"/>
  <bookViews>
    <workbookView xWindow="28680" yWindow="-120" windowWidth="29040" windowHeight="15840" activeTab="1" xr2:uid="{9B3AC3D0-C922-41CB-89EC-5B79BB51A22F}"/>
  </bookViews>
  <sheets>
    <sheet name="ReadMe" sheetId="2" r:id="rId1"/>
    <sheet name="GHG emissions" sheetId="1" r:id="rId2"/>
  </sheets>
  <definedNames>
    <definedName name="solver_eng" localSheetId="1" hidden="1">1</definedName>
    <definedName name="solver_neg" localSheetId="1" hidden="1">1</definedName>
    <definedName name="solver_num" localSheetId="1" hidden="1">0</definedName>
    <definedName name="solver_opt" localSheetId="1" hidden="1">'GHG emissions'!$CO$49</definedName>
    <definedName name="solver_typ" localSheetId="1" hidden="1">1</definedName>
    <definedName name="solver_val" localSheetId="1" hidden="1">0</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72" i="1" l="1"/>
  <c r="AN72" i="1"/>
  <c r="AO72" i="1"/>
  <c r="AP72" i="1"/>
  <c r="AQ72" i="1"/>
  <c r="AR72" i="1"/>
  <c r="AR73" i="1" s="1"/>
  <c r="AS72" i="1"/>
  <c r="AU72" i="1"/>
  <c r="AU73" i="1" s="1"/>
  <c r="AV72" i="1"/>
  <c r="AV73" i="1" s="1"/>
  <c r="AW72" i="1"/>
  <c r="AX72" i="1"/>
  <c r="AY72" i="1"/>
  <c r="AZ72" i="1"/>
  <c r="BA72" i="1"/>
  <c r="BB72" i="1"/>
  <c r="BD72" i="1"/>
  <c r="BD73" i="1" s="1"/>
  <c r="BE72" i="1"/>
  <c r="BF72" i="1"/>
  <c r="BF73" i="1" s="1"/>
  <c r="BG72" i="1"/>
  <c r="BG73" i="1" s="1"/>
  <c r="BI72" i="1"/>
  <c r="BJ72" i="1"/>
  <c r="BK72" i="1"/>
  <c r="BL72" i="1"/>
  <c r="BM72" i="1"/>
  <c r="AM73" i="1"/>
  <c r="AN73" i="1"/>
  <c r="AO73" i="1"/>
  <c r="AP73" i="1"/>
  <c r="AQ73" i="1"/>
  <c r="AS73" i="1"/>
  <c r="AW73" i="1"/>
  <c r="AX73" i="1"/>
  <c r="AY73" i="1"/>
  <c r="AZ73" i="1"/>
  <c r="BA73" i="1"/>
  <c r="BB73" i="1"/>
  <c r="BE73" i="1"/>
  <c r="BI73" i="1"/>
  <c r="BJ73" i="1"/>
  <c r="BK73" i="1"/>
  <c r="BL73" i="1"/>
  <c r="BM73" i="1"/>
  <c r="K68" i="1"/>
  <c r="K69" i="1"/>
  <c r="K65" i="1"/>
  <c r="K66" i="1" s="1"/>
  <c r="B69" i="1"/>
  <c r="CD65" i="1"/>
  <c r="CD66" i="1" s="1"/>
  <c r="CD68" i="1"/>
  <c r="CD69" i="1" s="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22" i="1"/>
  <c r="D34" i="1" l="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I2" i="1" l="1"/>
  <c r="DH2" i="1"/>
  <c r="DG2" i="1"/>
  <c r="AB3" i="1" l="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2" i="1"/>
  <c r="AL3" i="1"/>
  <c r="AL4"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2" i="1"/>
  <c r="AT3" i="1"/>
  <c r="AT4"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T2" i="1"/>
  <c r="BC3" i="1"/>
  <c r="BC4" i="1"/>
  <c r="BC5"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C2" i="1"/>
  <c r="BG65" i="1"/>
  <c r="BG66" i="1" s="1"/>
  <c r="BG68" i="1"/>
  <c r="BG69" i="1" s="1"/>
  <c r="BH3" i="1"/>
  <c r="BH4" i="1"/>
  <c r="BH5"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2" i="1"/>
  <c r="CC22" i="1"/>
  <c r="CC23" i="1" s="1"/>
  <c r="CC24" i="1" s="1"/>
  <c r="CC25" i="1" s="1"/>
  <c r="CC26" i="1" s="1"/>
  <c r="CC27" i="1" s="1"/>
  <c r="CC28" i="1" s="1"/>
  <c r="CC29" i="1" s="1"/>
  <c r="CC30" i="1" s="1"/>
  <c r="CC31" i="1" s="1"/>
  <c r="CC32" i="1" s="1"/>
  <c r="CA22" i="1"/>
  <c r="BX3" i="1"/>
  <c r="BX4" i="1"/>
  <c r="BX5" i="1"/>
  <c r="BX6" i="1"/>
  <c r="BX7" i="1"/>
  <c r="BX8" i="1"/>
  <c r="BX9" i="1"/>
  <c r="BX10" i="1"/>
  <c r="BX11" i="1"/>
  <c r="BX12" i="1"/>
  <c r="BX13" i="1"/>
  <c r="BX14" i="1"/>
  <c r="BX15" i="1"/>
  <c r="BX16" i="1"/>
  <c r="BX17" i="1"/>
  <c r="BX18" i="1"/>
  <c r="BX19" i="1"/>
  <c r="BX20" i="1"/>
  <c r="BX21" i="1"/>
  <c r="BX22" i="1"/>
  <c r="BX23" i="1"/>
  <c r="BX24" i="1"/>
  <c r="BX25" i="1"/>
  <c r="BX26" i="1"/>
  <c r="BX27" i="1"/>
  <c r="BX28" i="1"/>
  <c r="BX29" i="1"/>
  <c r="BX30" i="1"/>
  <c r="BX31" i="1"/>
  <c r="BX2" i="1"/>
  <c r="BT3" i="1"/>
  <c r="BT4" i="1"/>
  <c r="BT5" i="1"/>
  <c r="BT6" i="1"/>
  <c r="BT7" i="1"/>
  <c r="BT8" i="1"/>
  <c r="BT9" i="1"/>
  <c r="BT10" i="1"/>
  <c r="BT11" i="1"/>
  <c r="BT12" i="1"/>
  <c r="BT13" i="1"/>
  <c r="BT14" i="1"/>
  <c r="BT15" i="1"/>
  <c r="BT16" i="1"/>
  <c r="BT17" i="1"/>
  <c r="BT18" i="1"/>
  <c r="BT19" i="1"/>
  <c r="BT20" i="1"/>
  <c r="BT21" i="1"/>
  <c r="BT22" i="1"/>
  <c r="BT23" i="1"/>
  <c r="BT24" i="1"/>
  <c r="BT25" i="1"/>
  <c r="BT26" i="1"/>
  <c r="BT27" i="1"/>
  <c r="BT28" i="1"/>
  <c r="BT29" i="1"/>
  <c r="BT30" i="1"/>
  <c r="BT31" i="1"/>
  <c r="BT2" i="1"/>
  <c r="BH72" i="1" l="1"/>
  <c r="BH73" i="1" s="1"/>
  <c r="AT72" i="1"/>
  <c r="AT73" i="1" s="1"/>
  <c r="BC72" i="1"/>
  <c r="BC73" i="1" s="1"/>
  <c r="AL72" i="1"/>
  <c r="AL73" i="1" s="1"/>
  <c r="CA23" i="1"/>
  <c r="CB22" i="1"/>
  <c r="CC33" i="1"/>
  <c r="CC34" i="1" s="1"/>
  <c r="CC35" i="1" s="1"/>
  <c r="CC36" i="1" s="1"/>
  <c r="CC37" i="1" s="1"/>
  <c r="CC38" i="1" s="1"/>
  <c r="CC65" i="1"/>
  <c r="CC66" i="1" s="1"/>
  <c r="AT65" i="1"/>
  <c r="AT66" i="1" s="1"/>
  <c r="AL65" i="1"/>
  <c r="AL66" i="1" s="1"/>
  <c r="AB65" i="1"/>
  <c r="AB66" i="1" s="1"/>
  <c r="BH65" i="1"/>
  <c r="BH66" i="1" s="1"/>
  <c r="BC65" i="1"/>
  <c r="BC66" i="1" s="1"/>
  <c r="BT65" i="1"/>
  <c r="BT66" i="1" s="1"/>
  <c r="BX65" i="1"/>
  <c r="BX66" i="1" s="1"/>
  <c r="AN3" i="1"/>
  <c r="AN4"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2" i="1"/>
  <c r="AM3" i="1"/>
  <c r="AM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2" i="1"/>
  <c r="CA24" i="1" l="1"/>
  <c r="CB23" i="1"/>
  <c r="CC39" i="1"/>
  <c r="CC40" i="1" s="1"/>
  <c r="CC41" i="1" s="1"/>
  <c r="CC42" i="1" s="1"/>
  <c r="CC43" i="1" s="1"/>
  <c r="AM65" i="1"/>
  <c r="AM66" i="1" s="1"/>
  <c r="AN65" i="1"/>
  <c r="AN66" i="1" s="1"/>
  <c r="CA25" i="1" l="1"/>
  <c r="CB24" i="1"/>
  <c r="CC44" i="1"/>
  <c r="CC45" i="1" s="1"/>
  <c r="CC46" i="1" s="1"/>
  <c r="CC47" i="1" s="1"/>
  <c r="CC48" i="1" s="1"/>
  <c r="CC49" i="1" s="1"/>
  <c r="CC50" i="1" s="1"/>
  <c r="CC51" i="1" s="1"/>
  <c r="CC52" i="1" s="1"/>
  <c r="CC53" i="1" s="1"/>
  <c r="AF32" i="1"/>
  <c r="CU2" i="1"/>
  <c r="BK32" i="1"/>
  <c r="BK33" i="1" s="1"/>
  <c r="BK34" i="1" s="1"/>
  <c r="BK35" i="1" s="1"/>
  <c r="BK36" i="1" s="1"/>
  <c r="BK37" i="1" s="1"/>
  <c r="BJ32" i="1"/>
  <c r="BB32" i="1"/>
  <c r="BB33" i="1" s="1"/>
  <c r="BB34" i="1" s="1"/>
  <c r="BB35" i="1" s="1"/>
  <c r="BB36" i="1" s="1"/>
  <c r="BB37" i="1" s="1"/>
  <c r="BA32" i="1"/>
  <c r="BA33" i="1" s="1"/>
  <c r="BA34" i="1" s="1"/>
  <c r="BA35" i="1" s="1"/>
  <c r="BA36" i="1" s="1"/>
  <c r="BA37" i="1" s="1"/>
  <c r="AZ32" i="1"/>
  <c r="AY32" i="1"/>
  <c r="AY33" i="1" s="1"/>
  <c r="AY34" i="1" s="1"/>
  <c r="AY35" i="1" s="1"/>
  <c r="AY36" i="1" s="1"/>
  <c r="AY37" i="1" s="1"/>
  <c r="AX32" i="1"/>
  <c r="AX33" i="1" s="1"/>
  <c r="AX34" i="1" s="1"/>
  <c r="AX35" i="1" s="1"/>
  <c r="AX36" i="1" s="1"/>
  <c r="AX37" i="1" s="1"/>
  <c r="AW32" i="1"/>
  <c r="AW33" i="1" s="1"/>
  <c r="AW34" i="1" s="1"/>
  <c r="AW35" i="1" s="1"/>
  <c r="AW36" i="1" s="1"/>
  <c r="AW37" i="1" s="1"/>
  <c r="AV32" i="1"/>
  <c r="AV33" i="1" s="1"/>
  <c r="AV34" i="1" s="1"/>
  <c r="AV35" i="1" s="1"/>
  <c r="AV36" i="1" s="1"/>
  <c r="AV37" i="1" s="1"/>
  <c r="AV38" i="1" s="1"/>
  <c r="AV39" i="1" s="1"/>
  <c r="AV40" i="1" s="1"/>
  <c r="AV41" i="1" s="1"/>
  <c r="AV42" i="1" s="1"/>
  <c r="AV43" i="1" s="1"/>
  <c r="AV44" i="1" s="1"/>
  <c r="AV45" i="1" s="1"/>
  <c r="AV46" i="1" s="1"/>
  <c r="AV47" i="1" s="1"/>
  <c r="AV48" i="1" s="1"/>
  <c r="AV49" i="1" s="1"/>
  <c r="AV50" i="1" s="1"/>
  <c r="AV51" i="1" s="1"/>
  <c r="AV52" i="1" s="1"/>
  <c r="AV53" i="1" s="1"/>
  <c r="AV54" i="1" s="1"/>
  <c r="AV55" i="1" s="1"/>
  <c r="AV56" i="1" s="1"/>
  <c r="AV57" i="1" s="1"/>
  <c r="AV58" i="1" s="1"/>
  <c r="AV59" i="1" s="1"/>
  <c r="AV60" i="1" s="1"/>
  <c r="AV61" i="1" s="1"/>
  <c r="AV62" i="1" s="1"/>
  <c r="AE32" i="1"/>
  <c r="AE33" i="1" s="1"/>
  <c r="AE34" i="1" s="1"/>
  <c r="AE35" i="1" s="1"/>
  <c r="AE36" i="1" s="1"/>
  <c r="AE37" i="1" s="1"/>
  <c r="AE38" i="1" s="1"/>
  <c r="AE39" i="1" s="1"/>
  <c r="AE40" i="1" s="1"/>
  <c r="AE41" i="1" s="1"/>
  <c r="AE42" i="1" s="1"/>
  <c r="AD32" i="1"/>
  <c r="AK32" i="1"/>
  <c r="AJ32" i="1"/>
  <c r="AJ33" i="1" s="1"/>
  <c r="AJ34" i="1" s="1"/>
  <c r="AJ35" i="1" s="1"/>
  <c r="AJ36" i="1" s="1"/>
  <c r="AJ37" i="1" s="1"/>
  <c r="AJ38" i="1" s="1"/>
  <c r="AJ39" i="1" s="1"/>
  <c r="AJ40" i="1" s="1"/>
  <c r="AJ41" i="1" s="1"/>
  <c r="AJ42" i="1" s="1"/>
  <c r="AI32" i="1"/>
  <c r="AI33" i="1" s="1"/>
  <c r="AI34" i="1" s="1"/>
  <c r="AI35" i="1" s="1"/>
  <c r="AI36" i="1" s="1"/>
  <c r="AI37" i="1" s="1"/>
  <c r="AI38" i="1" s="1"/>
  <c r="AI39" i="1" s="1"/>
  <c r="AI40" i="1" s="1"/>
  <c r="AI41" i="1" s="1"/>
  <c r="AI42" i="1" s="1"/>
  <c r="AI43" i="1" s="1"/>
  <c r="AI44" i="1" s="1"/>
  <c r="AI45" i="1" s="1"/>
  <c r="AI46" i="1" s="1"/>
  <c r="AI47" i="1" s="1"/>
  <c r="AI48" i="1" s="1"/>
  <c r="AI49" i="1" s="1"/>
  <c r="AI50" i="1" s="1"/>
  <c r="AI51" i="1" s="1"/>
  <c r="AI52" i="1" s="1"/>
  <c r="AI53" i="1" s="1"/>
  <c r="AI54" i="1" s="1"/>
  <c r="AI55" i="1" s="1"/>
  <c r="AI56" i="1" s="1"/>
  <c r="AI57" i="1" s="1"/>
  <c r="AI58" i="1" s="1"/>
  <c r="AI59" i="1" s="1"/>
  <c r="AI60" i="1" s="1"/>
  <c r="AI61" i="1" s="1"/>
  <c r="AI62" i="1" s="1"/>
  <c r="AH32" i="1"/>
  <c r="AH33" i="1" s="1"/>
  <c r="AH34" i="1" s="1"/>
  <c r="AH35" i="1" s="1"/>
  <c r="AH36" i="1" s="1"/>
  <c r="AH37" i="1" s="1"/>
  <c r="AH38" i="1" s="1"/>
  <c r="AH39" i="1" s="1"/>
  <c r="AH40" i="1" s="1"/>
  <c r="AH41" i="1" s="1"/>
  <c r="AH42" i="1" s="1"/>
  <c r="AG32" i="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A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2" i="1"/>
  <c r="G68" i="1"/>
  <c r="G69" i="1" s="1"/>
  <c r="H68" i="1"/>
  <c r="H69" i="1" s="1"/>
  <c r="I68" i="1"/>
  <c r="I69" i="1" s="1"/>
  <c r="L68" i="1"/>
  <c r="L69" i="1" s="1"/>
  <c r="M68" i="1"/>
  <c r="M69" i="1" s="1"/>
  <c r="C34" i="1"/>
  <c r="C35" i="1" s="1"/>
  <c r="C36" i="1" s="1"/>
  <c r="C37" i="1" s="1"/>
  <c r="C38" i="1" s="1"/>
  <c r="BF32" i="1"/>
  <c r="BF33" i="1" s="1"/>
  <c r="BF34" i="1" s="1"/>
  <c r="BF35" i="1" s="1"/>
  <c r="BF36" i="1" s="1"/>
  <c r="BF37" i="1" s="1"/>
  <c r="BE32" i="1"/>
  <c r="BE33" i="1" s="1"/>
  <c r="AS32" i="1"/>
  <c r="AS33" i="1" s="1"/>
  <c r="AS34" i="1" s="1"/>
  <c r="AS35" i="1" s="1"/>
  <c r="AS36" i="1" s="1"/>
  <c r="AS37" i="1" s="1"/>
  <c r="AR32" i="1"/>
  <c r="AR33" i="1" s="1"/>
  <c r="AR34" i="1" s="1"/>
  <c r="AR35" i="1" s="1"/>
  <c r="AR36" i="1" s="1"/>
  <c r="AR37" i="1" s="1"/>
  <c r="AQ32" i="1"/>
  <c r="Z32" i="1"/>
  <c r="Z33" i="1" s="1"/>
  <c r="Z34" i="1" s="1"/>
  <c r="Z35" i="1" s="1"/>
  <c r="Z36" i="1" s="1"/>
  <c r="Z37" i="1" s="1"/>
  <c r="Y32" i="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8" i="1" s="1"/>
  <c r="Y69" i="1" s="1"/>
  <c r="X32" i="1"/>
  <c r="X33" i="1" s="1"/>
  <c r="X34" i="1" s="1"/>
  <c r="X35" i="1" s="1"/>
  <c r="X36" i="1" s="1"/>
  <c r="X37" i="1" s="1"/>
  <c r="W32" i="1"/>
  <c r="CA26" i="1" l="1"/>
  <c r="CB25" i="1"/>
  <c r="CC54" i="1"/>
  <c r="CC55" i="1" s="1"/>
  <c r="CC56" i="1" s="1"/>
  <c r="CC57" i="1" s="1"/>
  <c r="CC58" i="1" s="1"/>
  <c r="CC59" i="1" s="1"/>
  <c r="CC60" i="1" s="1"/>
  <c r="CC61" i="1" s="1"/>
  <c r="CC62" i="1" s="1"/>
  <c r="BI32" i="1"/>
  <c r="BT32" i="1" s="1"/>
  <c r="DB16" i="1"/>
  <c r="AK33" i="1"/>
  <c r="AN32" i="1"/>
  <c r="AF33" i="1"/>
  <c r="AM32" i="1"/>
  <c r="DB19" i="1"/>
  <c r="BB38" i="1"/>
  <c r="BB39" i="1" s="1"/>
  <c r="BB40" i="1" s="1"/>
  <c r="BB41" i="1" s="1"/>
  <c r="BB42" i="1" s="1"/>
  <c r="BK38" i="1"/>
  <c r="BK39" i="1" s="1"/>
  <c r="BK40" i="1" s="1"/>
  <c r="BK41" i="1" s="1"/>
  <c r="BK42" i="1" s="1"/>
  <c r="DB18" i="1"/>
  <c r="AU32" i="1"/>
  <c r="AJ43" i="1"/>
  <c r="AJ44" i="1" s="1"/>
  <c r="AJ45" i="1" s="1"/>
  <c r="AJ46" i="1" s="1"/>
  <c r="AJ47" i="1" s="1"/>
  <c r="AJ48" i="1" s="1"/>
  <c r="AJ49" i="1" s="1"/>
  <c r="AJ50" i="1" s="1"/>
  <c r="AJ51" i="1" s="1"/>
  <c r="AJ52" i="1" s="1"/>
  <c r="DB28" i="1"/>
  <c r="BJ33" i="1"/>
  <c r="DB15" i="1"/>
  <c r="AH43" i="1"/>
  <c r="AH44" i="1" s="1"/>
  <c r="AH45" i="1" s="1"/>
  <c r="AH46" i="1" s="1"/>
  <c r="AH47" i="1" s="1"/>
  <c r="AH48" i="1" s="1"/>
  <c r="AH49" i="1" s="1"/>
  <c r="AH50" i="1" s="1"/>
  <c r="AH51" i="1" s="1"/>
  <c r="AH52" i="1" s="1"/>
  <c r="DB27" i="1"/>
  <c r="AE43" i="1"/>
  <c r="AE44" i="1" s="1"/>
  <c r="AE45" i="1" s="1"/>
  <c r="AE46" i="1" s="1"/>
  <c r="AE47" i="1" s="1"/>
  <c r="AE48" i="1" s="1"/>
  <c r="AE49" i="1" s="1"/>
  <c r="AE50" i="1" s="1"/>
  <c r="AE51" i="1" s="1"/>
  <c r="AE52" i="1" s="1"/>
  <c r="DB30" i="1"/>
  <c r="BA38" i="1"/>
  <c r="BA39" i="1" s="1"/>
  <c r="BA40" i="1" s="1"/>
  <c r="BA41" i="1" s="1"/>
  <c r="BA42" i="1" s="1"/>
  <c r="AW38" i="1"/>
  <c r="AW39" i="1" s="1"/>
  <c r="AW40" i="1" s="1"/>
  <c r="AW41" i="1" s="1"/>
  <c r="AW42" i="1" s="1"/>
  <c r="DB22" i="1"/>
  <c r="AY38" i="1"/>
  <c r="AY39" i="1" s="1"/>
  <c r="AY40" i="1" s="1"/>
  <c r="AY41" i="1" s="1"/>
  <c r="AY42" i="1" s="1"/>
  <c r="DB20" i="1"/>
  <c r="AX38" i="1"/>
  <c r="AX39" i="1" s="1"/>
  <c r="AX40" i="1" s="1"/>
  <c r="AX41" i="1" s="1"/>
  <c r="AX42" i="1" s="1"/>
  <c r="DB23" i="1"/>
  <c r="AA37" i="1"/>
  <c r="AC32" i="1"/>
  <c r="AA65" i="1"/>
  <c r="AA66" i="1" s="1"/>
  <c r="AZ33" i="1"/>
  <c r="AZ34" i="1" s="1"/>
  <c r="AZ35" i="1" s="1"/>
  <c r="AZ36" i="1" s="1"/>
  <c r="AZ37" i="1" s="1"/>
  <c r="AZ38" i="1" s="1"/>
  <c r="AZ39" i="1" s="1"/>
  <c r="AZ40" i="1" s="1"/>
  <c r="AZ41" i="1" s="1"/>
  <c r="AZ42" i="1" s="1"/>
  <c r="AZ43" i="1" s="1"/>
  <c r="AZ44" i="1" s="1"/>
  <c r="AZ45" i="1" s="1"/>
  <c r="AZ46" i="1" s="1"/>
  <c r="AZ47" i="1" s="1"/>
  <c r="AZ48" i="1" s="1"/>
  <c r="AZ49" i="1" s="1"/>
  <c r="AZ50" i="1" s="1"/>
  <c r="AZ51" i="1" s="1"/>
  <c r="AZ52" i="1" s="1"/>
  <c r="AZ53" i="1" s="1"/>
  <c r="AZ54" i="1" s="1"/>
  <c r="AZ55" i="1" s="1"/>
  <c r="AZ56" i="1" s="1"/>
  <c r="AZ57" i="1" s="1"/>
  <c r="AZ58" i="1" s="1"/>
  <c r="AZ59" i="1" s="1"/>
  <c r="AZ60" i="1" s="1"/>
  <c r="AZ61" i="1" s="1"/>
  <c r="AZ62" i="1" s="1"/>
  <c r="AZ68" i="1" s="1"/>
  <c r="AZ69" i="1" s="1"/>
  <c r="AD33" i="1"/>
  <c r="AV68" i="1"/>
  <c r="AV69" i="1" s="1"/>
  <c r="AI68" i="1"/>
  <c r="AI69" i="1" s="1"/>
  <c r="AG68" i="1"/>
  <c r="AG69" i="1" s="1"/>
  <c r="BD32" i="1"/>
  <c r="AA36" i="1"/>
  <c r="AA33" i="1"/>
  <c r="AA32" i="1"/>
  <c r="CV55" i="1"/>
  <c r="AA34" i="1"/>
  <c r="AA35" i="1"/>
  <c r="AR38" i="1"/>
  <c r="AR39" i="1" s="1"/>
  <c r="AR40" i="1" s="1"/>
  <c r="AR41" i="1" s="1"/>
  <c r="AR42" i="1" s="1"/>
  <c r="AS38" i="1"/>
  <c r="AS39" i="1" s="1"/>
  <c r="AS40" i="1" s="1"/>
  <c r="AS41" i="1" s="1"/>
  <c r="AS42" i="1" s="1"/>
  <c r="C39" i="1"/>
  <c r="BD33" i="1"/>
  <c r="BE34" i="1"/>
  <c r="BF38" i="1"/>
  <c r="BF39" i="1" s="1"/>
  <c r="BF40" i="1" s="1"/>
  <c r="BF41" i="1" s="1"/>
  <c r="BF42" i="1" s="1"/>
  <c r="CV15" i="1"/>
  <c r="X38" i="1"/>
  <c r="X39" i="1" s="1"/>
  <c r="X40" i="1" s="1"/>
  <c r="X41" i="1" s="1"/>
  <c r="X42" i="1" s="1"/>
  <c r="AP32" i="1"/>
  <c r="AQ33" i="1"/>
  <c r="CV14" i="1"/>
  <c r="Z38" i="1"/>
  <c r="Z39" i="1" s="1"/>
  <c r="Z40" i="1" s="1"/>
  <c r="Z41" i="1" s="1"/>
  <c r="Z42" i="1" s="1"/>
  <c r="V32" i="1"/>
  <c r="W33" i="1"/>
  <c r="BW31" i="1"/>
  <c r="BW23" i="1"/>
  <c r="BW24" i="1"/>
  <c r="BW25" i="1"/>
  <c r="BW26" i="1"/>
  <c r="BW27" i="1"/>
  <c r="BW28" i="1"/>
  <c r="BW29" i="1"/>
  <c r="BW30" i="1"/>
  <c r="BW65" i="1" s="1"/>
  <c r="BW66" i="1" s="1"/>
  <c r="BW22" i="1"/>
  <c r="BV23" i="1"/>
  <c r="BV24" i="1"/>
  <c r="BV25" i="1"/>
  <c r="BV26" i="1"/>
  <c r="BV27" i="1"/>
  <c r="BV28" i="1"/>
  <c r="BV29" i="1"/>
  <c r="BV30" i="1"/>
  <c r="BV65" i="1" s="1"/>
  <c r="BV66" i="1" s="1"/>
  <c r="BV31" i="1"/>
  <c r="BV22" i="1"/>
  <c r="BS23" i="1"/>
  <c r="BS24" i="1"/>
  <c r="BS25" i="1"/>
  <c r="BS26" i="1"/>
  <c r="BS27" i="1"/>
  <c r="BS28" i="1"/>
  <c r="BS29" i="1"/>
  <c r="BS30" i="1"/>
  <c r="BS65" i="1" s="1"/>
  <c r="BS66" i="1" s="1"/>
  <c r="BS31" i="1"/>
  <c r="BS22" i="1"/>
  <c r="BR23" i="1"/>
  <c r="BR24" i="1"/>
  <c r="BR25" i="1"/>
  <c r="BR26" i="1"/>
  <c r="BR27" i="1"/>
  <c r="BR28" i="1"/>
  <c r="BR29" i="1"/>
  <c r="BR30" i="1"/>
  <c r="BR65" i="1" s="1"/>
  <c r="BR66" i="1" s="1"/>
  <c r="BR31" i="1"/>
  <c r="BR22" i="1"/>
  <c r="AP65" i="1"/>
  <c r="AP66" i="1" s="1"/>
  <c r="AQ65" i="1"/>
  <c r="AQ66" i="1" s="1"/>
  <c r="AR65" i="1"/>
  <c r="AR66" i="1" s="1"/>
  <c r="AS65" i="1"/>
  <c r="AS66" i="1" s="1"/>
  <c r="AU65" i="1"/>
  <c r="AU66" i="1" s="1"/>
  <c r="AV65" i="1"/>
  <c r="AV66" i="1" s="1"/>
  <c r="AW65" i="1"/>
  <c r="AW66" i="1" s="1"/>
  <c r="AX65" i="1"/>
  <c r="AX66" i="1" s="1"/>
  <c r="AY65" i="1"/>
  <c r="AY66" i="1" s="1"/>
  <c r="AZ65" i="1"/>
  <c r="AZ66" i="1" s="1"/>
  <c r="BA65" i="1"/>
  <c r="BA66" i="1" s="1"/>
  <c r="BB65" i="1"/>
  <c r="BB66" i="1" s="1"/>
  <c r="BD65" i="1"/>
  <c r="BD66" i="1" s="1"/>
  <c r="BE65" i="1"/>
  <c r="BE66" i="1" s="1"/>
  <c r="BF65" i="1"/>
  <c r="BF66" i="1" s="1"/>
  <c r="BI65" i="1"/>
  <c r="BI66" i="1" s="1"/>
  <c r="BJ65" i="1"/>
  <c r="BJ66" i="1" s="1"/>
  <c r="BK65" i="1"/>
  <c r="BK66" i="1" s="1"/>
  <c r="BM3" i="1"/>
  <c r="BO3" i="1" s="1"/>
  <c r="BQ3" i="1" s="1"/>
  <c r="BM4" i="1"/>
  <c r="BO4" i="1" s="1"/>
  <c r="BQ4" i="1" s="1"/>
  <c r="BM5" i="1"/>
  <c r="BO5" i="1" s="1"/>
  <c r="BQ5" i="1" s="1"/>
  <c r="BM6" i="1"/>
  <c r="BO6" i="1" s="1"/>
  <c r="BQ6" i="1" s="1"/>
  <c r="BM7" i="1"/>
  <c r="BO7" i="1" s="1"/>
  <c r="BQ7" i="1" s="1"/>
  <c r="BM8" i="1"/>
  <c r="BO8" i="1" s="1"/>
  <c r="BQ8" i="1" s="1"/>
  <c r="BM9" i="1"/>
  <c r="BO9" i="1" s="1"/>
  <c r="BQ9" i="1" s="1"/>
  <c r="BM10" i="1"/>
  <c r="BO10" i="1" s="1"/>
  <c r="BQ10" i="1" s="1"/>
  <c r="BM11" i="1"/>
  <c r="BO11" i="1" s="1"/>
  <c r="BQ11" i="1" s="1"/>
  <c r="BM12" i="1"/>
  <c r="BO12" i="1" s="1"/>
  <c r="BQ12" i="1" s="1"/>
  <c r="BM13" i="1"/>
  <c r="BO13" i="1" s="1"/>
  <c r="BQ13" i="1" s="1"/>
  <c r="BM14" i="1"/>
  <c r="BO14" i="1" s="1"/>
  <c r="BQ14" i="1" s="1"/>
  <c r="BM15" i="1"/>
  <c r="BO15" i="1" s="1"/>
  <c r="BQ15" i="1" s="1"/>
  <c r="BM16" i="1"/>
  <c r="BO16" i="1" s="1"/>
  <c r="BQ16" i="1" s="1"/>
  <c r="BM17" i="1"/>
  <c r="BO17" i="1" s="1"/>
  <c r="BQ17" i="1" s="1"/>
  <c r="BM18" i="1"/>
  <c r="BO18" i="1" s="1"/>
  <c r="BQ18" i="1" s="1"/>
  <c r="BM19" i="1"/>
  <c r="BO19" i="1" s="1"/>
  <c r="BQ19" i="1" s="1"/>
  <c r="BM20" i="1"/>
  <c r="BO20" i="1" s="1"/>
  <c r="BQ20" i="1" s="1"/>
  <c r="BM21" i="1"/>
  <c r="BO21" i="1" s="1"/>
  <c r="BQ21" i="1" s="1"/>
  <c r="BM22" i="1"/>
  <c r="BO22" i="1" s="1"/>
  <c r="BM23" i="1"/>
  <c r="BO23" i="1" s="1"/>
  <c r="BM24" i="1"/>
  <c r="BO24" i="1" s="1"/>
  <c r="BM25" i="1"/>
  <c r="BO25" i="1" s="1"/>
  <c r="BM26" i="1"/>
  <c r="BO26" i="1" s="1"/>
  <c r="BM27" i="1"/>
  <c r="BO27" i="1" s="1"/>
  <c r="BM28" i="1"/>
  <c r="BO28" i="1" s="1"/>
  <c r="BM29" i="1"/>
  <c r="BO29" i="1" s="1"/>
  <c r="BM30" i="1"/>
  <c r="BM31" i="1"/>
  <c r="BO31" i="1" s="1"/>
  <c r="BM2" i="1"/>
  <c r="BO2" i="1" s="1"/>
  <c r="BQ2" i="1" s="1"/>
  <c r="BL3" i="1"/>
  <c r="BN3" i="1" s="1"/>
  <c r="BP3" i="1" s="1"/>
  <c r="BL4" i="1"/>
  <c r="BN4" i="1" s="1"/>
  <c r="BP4" i="1" s="1"/>
  <c r="BL5" i="1"/>
  <c r="BN5" i="1" s="1"/>
  <c r="BP5" i="1" s="1"/>
  <c r="BL6" i="1"/>
  <c r="BN6" i="1" s="1"/>
  <c r="BP6" i="1" s="1"/>
  <c r="BL7" i="1"/>
  <c r="BN7" i="1" s="1"/>
  <c r="BP7" i="1" s="1"/>
  <c r="BL8" i="1"/>
  <c r="BN8" i="1" s="1"/>
  <c r="BP8" i="1" s="1"/>
  <c r="BL9" i="1"/>
  <c r="BN9" i="1" s="1"/>
  <c r="BP9" i="1" s="1"/>
  <c r="BL10" i="1"/>
  <c r="BN10" i="1" s="1"/>
  <c r="BP10" i="1" s="1"/>
  <c r="BL11" i="1"/>
  <c r="BN11" i="1" s="1"/>
  <c r="BP11" i="1" s="1"/>
  <c r="BL12" i="1"/>
  <c r="BN12" i="1" s="1"/>
  <c r="BP12" i="1" s="1"/>
  <c r="BL13" i="1"/>
  <c r="BN13" i="1" s="1"/>
  <c r="BP13" i="1" s="1"/>
  <c r="BL14" i="1"/>
  <c r="BN14" i="1" s="1"/>
  <c r="BP14" i="1" s="1"/>
  <c r="BL15" i="1"/>
  <c r="BN15" i="1" s="1"/>
  <c r="BP15" i="1" s="1"/>
  <c r="BL16" i="1"/>
  <c r="BN16" i="1" s="1"/>
  <c r="BP16" i="1" s="1"/>
  <c r="BL17" i="1"/>
  <c r="BN17" i="1" s="1"/>
  <c r="BP17" i="1" s="1"/>
  <c r="BL18" i="1"/>
  <c r="BN18" i="1" s="1"/>
  <c r="BP18" i="1" s="1"/>
  <c r="BL19" i="1"/>
  <c r="BN19" i="1" s="1"/>
  <c r="BP19" i="1" s="1"/>
  <c r="BL20" i="1"/>
  <c r="BN20" i="1" s="1"/>
  <c r="BP20" i="1" s="1"/>
  <c r="BL21" i="1"/>
  <c r="BN21" i="1" s="1"/>
  <c r="BP21" i="1" s="1"/>
  <c r="BL22" i="1"/>
  <c r="BN22" i="1" s="1"/>
  <c r="BL23" i="1"/>
  <c r="BN23" i="1" s="1"/>
  <c r="BL24" i="1"/>
  <c r="BN24" i="1" s="1"/>
  <c r="BL25" i="1"/>
  <c r="BN25" i="1" s="1"/>
  <c r="BL26" i="1"/>
  <c r="BN26" i="1" s="1"/>
  <c r="BL27" i="1"/>
  <c r="BN27" i="1" s="1"/>
  <c r="BL28" i="1"/>
  <c r="BN28" i="1" s="1"/>
  <c r="BL29" i="1"/>
  <c r="BN29" i="1" s="1"/>
  <c r="BL30" i="1"/>
  <c r="BN30" i="1" s="1"/>
  <c r="BL31" i="1"/>
  <c r="BN31" i="1" s="1"/>
  <c r="BL2" i="1"/>
  <c r="BN2" i="1" s="1"/>
  <c r="BP2" i="1" s="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P2" i="1"/>
  <c r="C65" i="1"/>
  <c r="C66" i="1" s="1"/>
  <c r="D65" i="1"/>
  <c r="D66" i="1" s="1"/>
  <c r="E65" i="1"/>
  <c r="E66" i="1" s="1"/>
  <c r="G65" i="1"/>
  <c r="G66" i="1" s="1"/>
  <c r="H65" i="1"/>
  <c r="H66" i="1" s="1"/>
  <c r="I65" i="1"/>
  <c r="I66" i="1" s="1"/>
  <c r="J65" i="1"/>
  <c r="J66" i="1" s="1"/>
  <c r="L65" i="1"/>
  <c r="L66" i="1" s="1"/>
  <c r="M65" i="1"/>
  <c r="M66" i="1" s="1"/>
  <c r="Q65" i="1"/>
  <c r="Q66" i="1" s="1"/>
  <c r="R65" i="1"/>
  <c r="R66" i="1" s="1"/>
  <c r="V65" i="1"/>
  <c r="V66" i="1" s="1"/>
  <c r="W65" i="1"/>
  <c r="W66" i="1" s="1"/>
  <c r="X65" i="1"/>
  <c r="X66" i="1" s="1"/>
  <c r="Y65" i="1"/>
  <c r="Y66" i="1" s="1"/>
  <c r="Z65" i="1"/>
  <c r="Z66" i="1" s="1"/>
  <c r="AC65" i="1"/>
  <c r="AC66" i="1" s="1"/>
  <c r="AD65" i="1"/>
  <c r="AD66" i="1" s="1"/>
  <c r="AE65" i="1"/>
  <c r="AE66" i="1" s="1"/>
  <c r="AF65" i="1"/>
  <c r="AF66" i="1" s="1"/>
  <c r="AG65" i="1"/>
  <c r="AG66" i="1" s="1"/>
  <c r="AH65" i="1"/>
  <c r="AH66" i="1" s="1"/>
  <c r="AI65" i="1"/>
  <c r="AI66" i="1" s="1"/>
  <c r="AJ65" i="1"/>
  <c r="AJ66" i="1" s="1"/>
  <c r="AK65" i="1"/>
  <c r="AK66" i="1" s="1"/>
  <c r="AO65" i="1"/>
  <c r="AO66" i="1" s="1"/>
  <c r="B65" i="1"/>
  <c r="B66" i="1" s="1"/>
  <c r="BN72" i="1" l="1"/>
  <c r="BN73" i="1" s="1"/>
  <c r="BO72" i="1"/>
  <c r="BO73" i="1" s="1"/>
  <c r="CA27" i="1"/>
  <c r="CB26" i="1"/>
  <c r="BV32" i="1"/>
  <c r="AB32" i="1"/>
  <c r="BR32" i="1"/>
  <c r="AL32" i="1"/>
  <c r="BW32" i="1"/>
  <c r="AT32" i="1"/>
  <c r="BS32" i="1"/>
  <c r="BC32" i="1"/>
  <c r="BX32" i="1"/>
  <c r="BH32" i="1"/>
  <c r="BX33" i="1"/>
  <c r="BH33" i="1"/>
  <c r="BP24" i="1"/>
  <c r="CJ24" i="1"/>
  <c r="CL24" i="1" s="1"/>
  <c r="BY27" i="1"/>
  <c r="CM27" i="1" s="1"/>
  <c r="BP23" i="1"/>
  <c r="CJ23" i="1"/>
  <c r="CL23" i="1" s="1"/>
  <c r="BP25" i="1"/>
  <c r="CJ25" i="1"/>
  <c r="CL25" i="1" s="1"/>
  <c r="BP22" i="1"/>
  <c r="CJ22" i="1"/>
  <c r="CL22" i="1" s="1"/>
  <c r="BU22" i="1"/>
  <c r="CH22" i="1" s="1"/>
  <c r="CI22" i="1" s="1"/>
  <c r="BP27" i="1"/>
  <c r="CJ27" i="1"/>
  <c r="CL27" i="1" s="1"/>
  <c r="BP31" i="1"/>
  <c r="CJ31" i="1"/>
  <c r="CL31" i="1" s="1"/>
  <c r="BP30" i="1"/>
  <c r="BP65" i="1" s="1"/>
  <c r="BP66" i="1" s="1"/>
  <c r="CJ30" i="1"/>
  <c r="BP29" i="1"/>
  <c r="CJ29" i="1"/>
  <c r="CL29" i="1" s="1"/>
  <c r="BP28" i="1"/>
  <c r="CJ28" i="1"/>
  <c r="CL28" i="1" s="1"/>
  <c r="BP26" i="1"/>
  <c r="CJ26" i="1"/>
  <c r="CL26" i="1" s="1"/>
  <c r="BY29" i="1"/>
  <c r="CM29" i="1" s="1"/>
  <c r="BQ31" i="1"/>
  <c r="BQ27" i="1"/>
  <c r="CE27" i="1"/>
  <c r="CG27" i="1" s="1"/>
  <c r="BQ28" i="1"/>
  <c r="BQ26" i="1"/>
  <c r="CE26" i="1"/>
  <c r="CG26" i="1" s="1"/>
  <c r="BQ29" i="1"/>
  <c r="BQ24" i="1"/>
  <c r="CE24" i="1"/>
  <c r="CG24" i="1" s="1"/>
  <c r="BQ23" i="1"/>
  <c r="CE23" i="1"/>
  <c r="CG23" i="1" s="1"/>
  <c r="BQ25" i="1"/>
  <c r="CE25" i="1"/>
  <c r="CG25" i="1" s="1"/>
  <c r="BQ22" i="1"/>
  <c r="CE22" i="1"/>
  <c r="BU28" i="1"/>
  <c r="BY23" i="1"/>
  <c r="CM23" i="1" s="1"/>
  <c r="BY28" i="1"/>
  <c r="CM28" i="1" s="1"/>
  <c r="BY30" i="1"/>
  <c r="BY26" i="1"/>
  <c r="CM26" i="1" s="1"/>
  <c r="BY25" i="1"/>
  <c r="CM25" i="1" s="1"/>
  <c r="BY24" i="1"/>
  <c r="CM24" i="1" s="1"/>
  <c r="BU27" i="1"/>
  <c r="CH27" i="1" s="1"/>
  <c r="BU26" i="1"/>
  <c r="CH26" i="1" s="1"/>
  <c r="BU25" i="1"/>
  <c r="CH25" i="1" s="1"/>
  <c r="BY22" i="1"/>
  <c r="BY31" i="1"/>
  <c r="CM31" i="1" s="1"/>
  <c r="BU31" i="1"/>
  <c r="BU30" i="1"/>
  <c r="BU29" i="1"/>
  <c r="BU24" i="1"/>
  <c r="CH24" i="1" s="1"/>
  <c r="BU23" i="1"/>
  <c r="CH23" i="1" s="1"/>
  <c r="AK34" i="1"/>
  <c r="AK35" i="1" s="1"/>
  <c r="AK36" i="1" s="1"/>
  <c r="AK37" i="1" s="1"/>
  <c r="AN33" i="1"/>
  <c r="F20" i="1"/>
  <c r="K20" i="1"/>
  <c r="F19" i="1"/>
  <c r="K19" i="1"/>
  <c r="F32" i="1"/>
  <c r="K32" i="1"/>
  <c r="F29" i="1"/>
  <c r="K29" i="1"/>
  <c r="F17" i="1"/>
  <c r="K17" i="1"/>
  <c r="F5" i="1"/>
  <c r="K5" i="1"/>
  <c r="F28" i="1"/>
  <c r="K28" i="1"/>
  <c r="F16" i="1"/>
  <c r="K16" i="1"/>
  <c r="F4" i="1"/>
  <c r="K4" i="1"/>
  <c r="F7" i="1"/>
  <c r="K7" i="1"/>
  <c r="F27" i="1"/>
  <c r="K27" i="1"/>
  <c r="F15" i="1"/>
  <c r="K15" i="1"/>
  <c r="F3" i="1"/>
  <c r="K3" i="1"/>
  <c r="F21" i="1"/>
  <c r="K21" i="1"/>
  <c r="F31" i="1"/>
  <c r="K31" i="1"/>
  <c r="F26" i="1"/>
  <c r="K26" i="1"/>
  <c r="F14" i="1"/>
  <c r="K14" i="1"/>
  <c r="F6" i="1"/>
  <c r="K6" i="1"/>
  <c r="F25" i="1"/>
  <c r="K25" i="1"/>
  <c r="F13" i="1"/>
  <c r="K13" i="1"/>
  <c r="F18" i="1"/>
  <c r="K18" i="1"/>
  <c r="F24" i="1"/>
  <c r="K24" i="1"/>
  <c r="F12" i="1"/>
  <c r="K12" i="1"/>
  <c r="F9" i="1"/>
  <c r="K9" i="1"/>
  <c r="F30" i="1"/>
  <c r="K30" i="1"/>
  <c r="F23" i="1"/>
  <c r="K23" i="1"/>
  <c r="F11" i="1"/>
  <c r="K11" i="1"/>
  <c r="F8" i="1"/>
  <c r="K8" i="1"/>
  <c r="F2" i="1"/>
  <c r="K2" i="1"/>
  <c r="F22" i="1"/>
  <c r="K22" i="1"/>
  <c r="F10" i="1"/>
  <c r="K10" i="1"/>
  <c r="P34" i="1"/>
  <c r="J34" i="1" s="1"/>
  <c r="F33" i="1"/>
  <c r="AU42" i="1"/>
  <c r="AU37" i="1"/>
  <c r="AU35" i="1"/>
  <c r="AU34" i="1"/>
  <c r="AF34" i="1"/>
  <c r="AM33" i="1"/>
  <c r="AU39" i="1"/>
  <c r="AX43" i="1"/>
  <c r="AX44" i="1" s="1"/>
  <c r="AX45" i="1" s="1"/>
  <c r="AX46" i="1" s="1"/>
  <c r="AX47" i="1" s="1"/>
  <c r="AX48" i="1" s="1"/>
  <c r="AX49" i="1" s="1"/>
  <c r="AX50" i="1" s="1"/>
  <c r="AX51" i="1" s="1"/>
  <c r="AX52" i="1" s="1"/>
  <c r="DB35" i="1"/>
  <c r="AU33" i="1"/>
  <c r="AY43" i="1"/>
  <c r="AY44" i="1" s="1"/>
  <c r="AY45" i="1" s="1"/>
  <c r="AY46" i="1" s="1"/>
  <c r="AY47" i="1" s="1"/>
  <c r="AY48" i="1" s="1"/>
  <c r="AY49" i="1" s="1"/>
  <c r="AY50" i="1" s="1"/>
  <c r="AY51" i="1" s="1"/>
  <c r="AY52" i="1" s="1"/>
  <c r="DB32" i="1"/>
  <c r="AW43" i="1"/>
  <c r="DB34" i="1"/>
  <c r="AH53" i="1"/>
  <c r="AH54" i="1" s="1"/>
  <c r="AH55" i="1" s="1"/>
  <c r="AH56" i="1" s="1"/>
  <c r="AH57" i="1" s="1"/>
  <c r="AH58" i="1" s="1"/>
  <c r="AH59" i="1" s="1"/>
  <c r="AH60" i="1" s="1"/>
  <c r="AH61" i="1" s="1"/>
  <c r="AH62" i="1" s="1"/>
  <c r="DB39" i="1"/>
  <c r="BK43" i="1"/>
  <c r="BK44" i="1" s="1"/>
  <c r="BK45" i="1" s="1"/>
  <c r="BK46" i="1" s="1"/>
  <c r="BK47" i="1" s="1"/>
  <c r="BK48" i="1" s="1"/>
  <c r="BK49" i="1" s="1"/>
  <c r="BK50" i="1" s="1"/>
  <c r="BK51" i="1" s="1"/>
  <c r="BK52" i="1" s="1"/>
  <c r="AJ53" i="1"/>
  <c r="AJ54" i="1" s="1"/>
  <c r="AJ55" i="1" s="1"/>
  <c r="AJ56" i="1" s="1"/>
  <c r="AJ57" i="1" s="1"/>
  <c r="AJ58" i="1" s="1"/>
  <c r="AJ59" i="1" s="1"/>
  <c r="AJ60" i="1" s="1"/>
  <c r="AJ61" i="1" s="1"/>
  <c r="AJ62" i="1" s="1"/>
  <c r="DB40" i="1"/>
  <c r="AU40" i="1"/>
  <c r="AE53" i="1"/>
  <c r="AE54" i="1" s="1"/>
  <c r="AE55" i="1" s="1"/>
  <c r="AE56" i="1" s="1"/>
  <c r="AE57" i="1" s="1"/>
  <c r="AE58" i="1" s="1"/>
  <c r="AE59" i="1" s="1"/>
  <c r="AE60" i="1" s="1"/>
  <c r="AE61" i="1" s="1"/>
  <c r="AE62" i="1" s="1"/>
  <c r="DB42" i="1"/>
  <c r="AU38" i="1"/>
  <c r="BI33" i="1"/>
  <c r="BT33" i="1" s="1"/>
  <c r="BJ34" i="1"/>
  <c r="CV2" i="1"/>
  <c r="AU36" i="1"/>
  <c r="DB21" i="1"/>
  <c r="AU41" i="1"/>
  <c r="BB43" i="1"/>
  <c r="BB44" i="1" s="1"/>
  <c r="BB45" i="1" s="1"/>
  <c r="BB46" i="1" s="1"/>
  <c r="BB47" i="1" s="1"/>
  <c r="BB48" i="1" s="1"/>
  <c r="BB49" i="1" s="1"/>
  <c r="BB50" i="1" s="1"/>
  <c r="BB51" i="1" s="1"/>
  <c r="BB52" i="1" s="1"/>
  <c r="DB31" i="1"/>
  <c r="BA43" i="1"/>
  <c r="BA44" i="1" s="1"/>
  <c r="BA45" i="1" s="1"/>
  <c r="BA46" i="1" s="1"/>
  <c r="BA47" i="1" s="1"/>
  <c r="BA48" i="1" s="1"/>
  <c r="BA49" i="1" s="1"/>
  <c r="BA50" i="1" s="1"/>
  <c r="BA51" i="1" s="1"/>
  <c r="BA52" i="1" s="1"/>
  <c r="DB33" i="1"/>
  <c r="BM32" i="1"/>
  <c r="BO32" i="1" s="1"/>
  <c r="CY2" i="1" s="1"/>
  <c r="BM65" i="1"/>
  <c r="BM66" i="1" s="1"/>
  <c r="P65" i="1"/>
  <c r="P66" i="1" s="1"/>
  <c r="AO32" i="1"/>
  <c r="BL65" i="1"/>
  <c r="BL66" i="1" s="1"/>
  <c r="AD34" i="1"/>
  <c r="AC33" i="1"/>
  <c r="AA38" i="1"/>
  <c r="X43" i="1"/>
  <c r="X44" i="1" s="1"/>
  <c r="X45" i="1" s="1"/>
  <c r="X46" i="1" s="1"/>
  <c r="X47" i="1" s="1"/>
  <c r="X48" i="1" s="1"/>
  <c r="X49" i="1" s="1"/>
  <c r="X50" i="1" s="1"/>
  <c r="X51" i="1" s="1"/>
  <c r="X52" i="1" s="1"/>
  <c r="CV33" i="1" s="1"/>
  <c r="CV24" i="1"/>
  <c r="C40" i="1"/>
  <c r="AA39" i="1"/>
  <c r="BO30" i="1"/>
  <c r="BD34" i="1"/>
  <c r="BE35" i="1"/>
  <c r="BF43" i="1"/>
  <c r="BF44" i="1" s="1"/>
  <c r="BF45" i="1" s="1"/>
  <c r="BF46" i="1" s="1"/>
  <c r="BF47" i="1" s="1"/>
  <c r="BF48" i="1" s="1"/>
  <c r="BF49" i="1" s="1"/>
  <c r="BF50" i="1" s="1"/>
  <c r="BF51" i="1" s="1"/>
  <c r="BF52" i="1" s="1"/>
  <c r="AS43" i="1"/>
  <c r="AS44" i="1" s="1"/>
  <c r="AS45" i="1" s="1"/>
  <c r="AS46" i="1" s="1"/>
  <c r="CV25" i="1"/>
  <c r="AR43" i="1"/>
  <c r="AR44" i="1" s="1"/>
  <c r="AR45" i="1" s="1"/>
  <c r="AR46" i="1" s="1"/>
  <c r="AP33" i="1"/>
  <c r="AQ34" i="1"/>
  <c r="Z43" i="1"/>
  <c r="Z44" i="1" s="1"/>
  <c r="Z45" i="1" s="1"/>
  <c r="Z46" i="1" s="1"/>
  <c r="Z47" i="1" s="1"/>
  <c r="Z48" i="1" s="1"/>
  <c r="Z49" i="1" s="1"/>
  <c r="Z50" i="1" s="1"/>
  <c r="Z51" i="1" s="1"/>
  <c r="Z52" i="1" s="1"/>
  <c r="CV32" i="1" s="1"/>
  <c r="CV23" i="1"/>
  <c r="BL32" i="1"/>
  <c r="BN32" i="1" s="1"/>
  <c r="DK2" i="1" s="1"/>
  <c r="V33" i="1"/>
  <c r="AB33" i="1" s="1"/>
  <c r="W34" i="1"/>
  <c r="BN65" i="1"/>
  <c r="BN66" i="1" s="1"/>
  <c r="CA28" i="1" l="1"/>
  <c r="CB27" i="1"/>
  <c r="CG22" i="1"/>
  <c r="CF22" i="1"/>
  <c r="CF23" i="1" s="1"/>
  <c r="CF24" i="1" s="1"/>
  <c r="CF25" i="1" s="1"/>
  <c r="CF26" i="1" s="1"/>
  <c r="CF27" i="1" s="1"/>
  <c r="CI23" i="1"/>
  <c r="CI24" i="1" s="1"/>
  <c r="CI25" i="1" s="1"/>
  <c r="CI26" i="1" s="1"/>
  <c r="CI27" i="1" s="1"/>
  <c r="CK22" i="1"/>
  <c r="CK23" i="1" s="1"/>
  <c r="CK24" i="1" s="1"/>
  <c r="CK25" i="1" s="1"/>
  <c r="CK26" i="1" s="1"/>
  <c r="CK27" i="1" s="1"/>
  <c r="CK28" i="1" s="1"/>
  <c r="CK29" i="1" s="1"/>
  <c r="CK30" i="1" s="1"/>
  <c r="BY32" i="1"/>
  <c r="CM32" i="1" s="1"/>
  <c r="BR33" i="1"/>
  <c r="AL33" i="1"/>
  <c r="BU32" i="1"/>
  <c r="DB2" i="1" s="1"/>
  <c r="BW33" i="1"/>
  <c r="AT33" i="1"/>
  <c r="BS41" i="1"/>
  <c r="BC41" i="1"/>
  <c r="BS34" i="1"/>
  <c r="BC34" i="1"/>
  <c r="BS35" i="1"/>
  <c r="BC35" i="1"/>
  <c r="BS37" i="1"/>
  <c r="BC37" i="1"/>
  <c r="BS42" i="1"/>
  <c r="BC42" i="1"/>
  <c r="BS36" i="1"/>
  <c r="BC36" i="1"/>
  <c r="BS38" i="1"/>
  <c r="BC38" i="1"/>
  <c r="BS33" i="1"/>
  <c r="BC33" i="1"/>
  <c r="BS40" i="1"/>
  <c r="BC40" i="1"/>
  <c r="BS39" i="1"/>
  <c r="BC39" i="1"/>
  <c r="BX34" i="1"/>
  <c r="BH34" i="1"/>
  <c r="CM30" i="1"/>
  <c r="BY65" i="1"/>
  <c r="BY66" i="1" s="1"/>
  <c r="BU65" i="1"/>
  <c r="BU66" i="1" s="1"/>
  <c r="CO26" i="1"/>
  <c r="CJ65" i="1"/>
  <c r="CJ66" i="1" s="1"/>
  <c r="CL30" i="1"/>
  <c r="CL65" i="1" s="1"/>
  <c r="CL66" i="1" s="1"/>
  <c r="CO25" i="1"/>
  <c r="CO23" i="1"/>
  <c r="CO27" i="1"/>
  <c r="CO24" i="1"/>
  <c r="BZ22" i="1"/>
  <c r="CM22" i="1"/>
  <c r="BP32" i="1"/>
  <c r="DL2" i="1" s="1"/>
  <c r="CJ32" i="1"/>
  <c r="CL32" i="1" s="1"/>
  <c r="BQ30" i="1"/>
  <c r="BQ65" i="1" s="1"/>
  <c r="BQ66" i="1" s="1"/>
  <c r="BZ31" i="1"/>
  <c r="AN34" i="1"/>
  <c r="B34" i="1"/>
  <c r="AK38" i="1"/>
  <c r="AK39" i="1" s="1"/>
  <c r="AK40" i="1" s="1"/>
  <c r="AK41" i="1" s="1"/>
  <c r="AK42" i="1" s="1"/>
  <c r="DB17" i="1"/>
  <c r="BZ27" i="1"/>
  <c r="P35" i="1"/>
  <c r="J35" i="1" s="1"/>
  <c r="AN35" i="1" s="1"/>
  <c r="E34" i="1"/>
  <c r="F34" i="1" s="1"/>
  <c r="AF35" i="1"/>
  <c r="DB51" i="1"/>
  <c r="AH68" i="1"/>
  <c r="AH69" i="1" s="1"/>
  <c r="AW44" i="1"/>
  <c r="AU43" i="1"/>
  <c r="DB54" i="1"/>
  <c r="AE68" i="1"/>
  <c r="AE69" i="1" s="1"/>
  <c r="AY53" i="1"/>
  <c r="AY54" i="1" s="1"/>
  <c r="AY55" i="1" s="1"/>
  <c r="AY56" i="1" s="1"/>
  <c r="AY57" i="1" s="1"/>
  <c r="AY58" i="1" s="1"/>
  <c r="AY59" i="1" s="1"/>
  <c r="AY60" i="1" s="1"/>
  <c r="AY61" i="1" s="1"/>
  <c r="AY62" i="1" s="1"/>
  <c r="DB44" i="1"/>
  <c r="BZ26" i="1"/>
  <c r="BJ35" i="1"/>
  <c r="BI34" i="1"/>
  <c r="BT34" i="1" s="1"/>
  <c r="DB52" i="1"/>
  <c r="AJ68" i="1"/>
  <c r="AJ69" i="1" s="1"/>
  <c r="BK53" i="1"/>
  <c r="BK54" i="1" s="1"/>
  <c r="BK55" i="1" s="1"/>
  <c r="BK56" i="1" s="1"/>
  <c r="BK57" i="1" s="1"/>
  <c r="BK58" i="1" s="1"/>
  <c r="BK59" i="1" s="1"/>
  <c r="BK60" i="1" s="1"/>
  <c r="BK61" i="1" s="1"/>
  <c r="BK62" i="1" s="1"/>
  <c r="AX53" i="1"/>
  <c r="AX54" i="1" s="1"/>
  <c r="AX55" i="1" s="1"/>
  <c r="AX56" i="1" s="1"/>
  <c r="AX57" i="1" s="1"/>
  <c r="AX58" i="1" s="1"/>
  <c r="AX59" i="1" s="1"/>
  <c r="AX60" i="1" s="1"/>
  <c r="AX61" i="1" s="1"/>
  <c r="AX62" i="1" s="1"/>
  <c r="DB47" i="1"/>
  <c r="BA53" i="1"/>
  <c r="BA54" i="1" s="1"/>
  <c r="BA55" i="1" s="1"/>
  <c r="BA56" i="1" s="1"/>
  <c r="BA57" i="1" s="1"/>
  <c r="BA58" i="1" s="1"/>
  <c r="BA59" i="1" s="1"/>
  <c r="BA60" i="1" s="1"/>
  <c r="BA61" i="1" s="1"/>
  <c r="BA62" i="1" s="1"/>
  <c r="DB45" i="1"/>
  <c r="DC2" i="1"/>
  <c r="DD2" i="1"/>
  <c r="BZ24" i="1"/>
  <c r="BZ25" i="1"/>
  <c r="BZ29" i="1"/>
  <c r="BZ30" i="1"/>
  <c r="BZ65" i="1" s="1"/>
  <c r="BZ66" i="1" s="1"/>
  <c r="BO65" i="1"/>
  <c r="BO66" i="1" s="1"/>
  <c r="BZ28" i="1"/>
  <c r="AC34" i="1"/>
  <c r="AD35" i="1"/>
  <c r="AO33" i="1"/>
  <c r="BM33" i="1"/>
  <c r="BO33" i="1" s="1"/>
  <c r="X53" i="1"/>
  <c r="X54" i="1" s="1"/>
  <c r="X55" i="1" s="1"/>
  <c r="X56" i="1" s="1"/>
  <c r="X57" i="1" s="1"/>
  <c r="X58" i="1" s="1"/>
  <c r="X59" i="1" s="1"/>
  <c r="X60" i="1" s="1"/>
  <c r="X61" i="1" s="1"/>
  <c r="X62" i="1" s="1"/>
  <c r="X68" i="1" s="1"/>
  <c r="X69" i="1" s="1"/>
  <c r="BZ23" i="1"/>
  <c r="AR47" i="1"/>
  <c r="AR48" i="1" s="1"/>
  <c r="AR49" i="1" s="1"/>
  <c r="AR50" i="1" s="1"/>
  <c r="AR51" i="1" s="1"/>
  <c r="AR52" i="1" s="1"/>
  <c r="CV35" i="1" s="1"/>
  <c r="CV17" i="1"/>
  <c r="AS47" i="1"/>
  <c r="AS48" i="1" s="1"/>
  <c r="AS49" i="1" s="1"/>
  <c r="AS50" i="1" s="1"/>
  <c r="AS51" i="1" s="1"/>
  <c r="AS52" i="1" s="1"/>
  <c r="AS53" i="1" s="1"/>
  <c r="AS54" i="1" s="1"/>
  <c r="AS55" i="1" s="1"/>
  <c r="AS56" i="1" s="1"/>
  <c r="AS57" i="1" s="1"/>
  <c r="AS58" i="1" s="1"/>
  <c r="AS59" i="1" s="1"/>
  <c r="AS60" i="1" s="1"/>
  <c r="AS61" i="1" s="1"/>
  <c r="AS62" i="1" s="1"/>
  <c r="CV16" i="1"/>
  <c r="CV26" i="1"/>
  <c r="C41" i="1"/>
  <c r="AA40" i="1"/>
  <c r="Z53" i="1"/>
  <c r="Z54" i="1" s="1"/>
  <c r="Z55" i="1" s="1"/>
  <c r="Z56" i="1" s="1"/>
  <c r="Z57" i="1" s="1"/>
  <c r="Z58" i="1" s="1"/>
  <c r="Z59" i="1" s="1"/>
  <c r="Z60" i="1" s="1"/>
  <c r="Z61" i="1" s="1"/>
  <c r="Z62" i="1" s="1"/>
  <c r="Z68" i="1" s="1"/>
  <c r="Z69" i="1" s="1"/>
  <c r="BF53" i="1"/>
  <c r="BF54" i="1" s="1"/>
  <c r="BD35" i="1"/>
  <c r="BE36" i="1"/>
  <c r="D68" i="1"/>
  <c r="D69" i="1" s="1"/>
  <c r="AP34" i="1"/>
  <c r="AQ35" i="1"/>
  <c r="W35" i="1"/>
  <c r="V34" i="1"/>
  <c r="AB34" i="1" s="1"/>
  <c r="BV33" i="1"/>
  <c r="BL33" i="1"/>
  <c r="BN33" i="1" s="1"/>
  <c r="CA29" i="1" l="1"/>
  <c r="CB28" i="1"/>
  <c r="CE28" i="1"/>
  <c r="CG28" i="1" s="1"/>
  <c r="CH28" i="1"/>
  <c r="CO28" i="1" s="1"/>
  <c r="BZ32" i="1"/>
  <c r="CK31" i="1"/>
  <c r="CK32" i="1" s="1"/>
  <c r="CK65" i="1"/>
  <c r="CK66" i="1" s="1"/>
  <c r="BU33" i="1"/>
  <c r="CO22" i="1"/>
  <c r="CP22" i="1" s="1"/>
  <c r="CP23" i="1" s="1"/>
  <c r="CP24" i="1" s="1"/>
  <c r="CP25" i="1" s="1"/>
  <c r="CP26" i="1" s="1"/>
  <c r="CP27" i="1" s="1"/>
  <c r="CN22" i="1"/>
  <c r="CN23" i="1" s="1"/>
  <c r="CN24" i="1" s="1"/>
  <c r="CN25" i="1" s="1"/>
  <c r="CN26" i="1" s="1"/>
  <c r="CN27" i="1" s="1"/>
  <c r="CN28" i="1" s="1"/>
  <c r="CN29" i="1" s="1"/>
  <c r="CN30" i="1" s="1"/>
  <c r="DN2" i="1"/>
  <c r="BR34" i="1"/>
  <c r="BU34" i="1" s="1"/>
  <c r="AL34" i="1"/>
  <c r="BW34" i="1"/>
  <c r="AT34" i="1"/>
  <c r="BS43" i="1"/>
  <c r="BC43" i="1"/>
  <c r="BX35" i="1"/>
  <c r="BH35" i="1"/>
  <c r="CM65" i="1"/>
  <c r="CM66" i="1" s="1"/>
  <c r="AM34" i="1"/>
  <c r="BY33" i="1"/>
  <c r="DB29" i="1"/>
  <c r="AK43" i="1"/>
  <c r="AK44" i="1" s="1"/>
  <c r="AK45" i="1" s="1"/>
  <c r="AK46" i="1" s="1"/>
  <c r="AK47" i="1" s="1"/>
  <c r="AK48" i="1" s="1"/>
  <c r="AK49" i="1" s="1"/>
  <c r="AK50" i="1" s="1"/>
  <c r="AK51" i="1" s="1"/>
  <c r="AK52" i="1" s="1"/>
  <c r="P36" i="1"/>
  <c r="J36" i="1" s="1"/>
  <c r="AN36" i="1" s="1"/>
  <c r="E35" i="1"/>
  <c r="F35" i="1" s="1"/>
  <c r="B35" i="1"/>
  <c r="AF36" i="1"/>
  <c r="BK68" i="1"/>
  <c r="BK69" i="1" s="1"/>
  <c r="AW45" i="1"/>
  <c r="AU44" i="1"/>
  <c r="BJ36" i="1"/>
  <c r="BI35" i="1"/>
  <c r="BT35" i="1" s="1"/>
  <c r="DB56" i="1"/>
  <c r="AY68" i="1"/>
  <c r="AY69" i="1" s="1"/>
  <c r="BA68" i="1"/>
  <c r="BA69" i="1" s="1"/>
  <c r="DB57" i="1"/>
  <c r="DB59" i="1"/>
  <c r="AX68" i="1"/>
  <c r="AX69" i="1" s="1"/>
  <c r="CV42" i="1"/>
  <c r="AO34" i="1"/>
  <c r="BM34" i="1"/>
  <c r="BO34" i="1" s="1"/>
  <c r="AD36" i="1"/>
  <c r="AC35" i="1"/>
  <c r="AR53" i="1"/>
  <c r="AR54" i="1" s="1"/>
  <c r="AR55" i="1" s="1"/>
  <c r="AR56" i="1" s="1"/>
  <c r="AR57" i="1" s="1"/>
  <c r="AR58" i="1" s="1"/>
  <c r="AR59" i="1" s="1"/>
  <c r="AR60" i="1" s="1"/>
  <c r="AR61" i="1" s="1"/>
  <c r="AR62" i="1" s="1"/>
  <c r="AR68" i="1" s="1"/>
  <c r="AR69" i="1" s="1"/>
  <c r="BF55" i="1"/>
  <c r="CV29" i="1"/>
  <c r="CV34" i="1"/>
  <c r="C42" i="1"/>
  <c r="DH3" i="1" s="1"/>
  <c r="AA41" i="1"/>
  <c r="CV41" i="1"/>
  <c r="AS68" i="1"/>
  <c r="AS69" i="1" s="1"/>
  <c r="CV43" i="1"/>
  <c r="BE37" i="1"/>
  <c r="BD36" i="1"/>
  <c r="AQ36" i="1"/>
  <c r="AP35" i="1"/>
  <c r="W36" i="1"/>
  <c r="V35" i="1"/>
  <c r="AB35" i="1" s="1"/>
  <c r="BV34" i="1"/>
  <c r="BL34" i="1"/>
  <c r="BN34" i="1" s="1"/>
  <c r="BZ33" i="1" l="1"/>
  <c r="CP28" i="1"/>
  <c r="CA30" i="1"/>
  <c r="CB29" i="1"/>
  <c r="CE29" i="1"/>
  <c r="CG29" i="1" s="1"/>
  <c r="CH29" i="1"/>
  <c r="CO29" i="1" s="1"/>
  <c r="CF28" i="1"/>
  <c r="CI28" i="1"/>
  <c r="CN31" i="1"/>
  <c r="CN32" i="1" s="1"/>
  <c r="CN65" i="1"/>
  <c r="CN66" i="1" s="1"/>
  <c r="BY34" i="1"/>
  <c r="BZ34" i="1" s="1"/>
  <c r="BR35" i="1"/>
  <c r="BU35" i="1" s="1"/>
  <c r="AL35" i="1"/>
  <c r="BW35" i="1"/>
  <c r="AT35" i="1"/>
  <c r="BS44" i="1"/>
  <c r="BC44" i="1"/>
  <c r="BX36" i="1"/>
  <c r="BH36" i="1"/>
  <c r="AM35" i="1"/>
  <c r="AK53" i="1"/>
  <c r="AK54" i="1" s="1"/>
  <c r="AK55" i="1" s="1"/>
  <c r="AK56" i="1" s="1"/>
  <c r="AK57" i="1" s="1"/>
  <c r="AK58" i="1" s="1"/>
  <c r="AK59" i="1" s="1"/>
  <c r="AK60" i="1" s="1"/>
  <c r="AK61" i="1" s="1"/>
  <c r="AK62" i="1" s="1"/>
  <c r="DB41" i="1"/>
  <c r="P37" i="1"/>
  <c r="J37" i="1" s="1"/>
  <c r="AN37" i="1" s="1"/>
  <c r="E36" i="1"/>
  <c r="F36" i="1" s="1"/>
  <c r="B36" i="1"/>
  <c r="AF37" i="1"/>
  <c r="BJ37" i="1"/>
  <c r="BI36" i="1"/>
  <c r="BT36" i="1" s="1"/>
  <c r="AW46" i="1"/>
  <c r="AU45" i="1"/>
  <c r="CV44" i="1"/>
  <c r="AO35" i="1"/>
  <c r="BM35" i="1"/>
  <c r="BO35" i="1" s="1"/>
  <c r="AD37" i="1"/>
  <c r="DB14" i="1" s="1"/>
  <c r="AC36" i="1"/>
  <c r="BF56" i="1"/>
  <c r="BF57" i="1" s="1"/>
  <c r="BF58" i="1" s="1"/>
  <c r="CV20" i="1"/>
  <c r="C43" i="1"/>
  <c r="AA42" i="1"/>
  <c r="CV56" i="1"/>
  <c r="BE38" i="1"/>
  <c r="BD37" i="1"/>
  <c r="AQ37" i="1"/>
  <c r="AP36" i="1"/>
  <c r="BV35" i="1"/>
  <c r="BL35" i="1"/>
  <c r="BN35" i="1" s="1"/>
  <c r="W37" i="1"/>
  <c r="V36" i="1"/>
  <c r="AB36" i="1" s="1"/>
  <c r="CF29" i="1" l="1"/>
  <c r="CI29" i="1"/>
  <c r="CA31" i="1"/>
  <c r="CB30" i="1"/>
  <c r="CB65" i="1" s="1"/>
  <c r="CB66" i="1" s="1"/>
  <c r="CA65" i="1"/>
  <c r="CA66" i="1" s="1"/>
  <c r="CH30" i="1"/>
  <c r="CE30" i="1"/>
  <c r="CP29" i="1"/>
  <c r="BR36" i="1"/>
  <c r="BU36" i="1" s="1"/>
  <c r="AL36" i="1"/>
  <c r="BW36" i="1"/>
  <c r="AT36" i="1"/>
  <c r="BS45" i="1"/>
  <c r="BC45" i="1"/>
  <c r="BX37" i="1"/>
  <c r="BH37" i="1"/>
  <c r="AM36" i="1"/>
  <c r="BY35" i="1"/>
  <c r="BZ35" i="1" s="1"/>
  <c r="DB53" i="1"/>
  <c r="AK68" i="1"/>
  <c r="AK69" i="1" s="1"/>
  <c r="B37" i="1"/>
  <c r="E37" i="1"/>
  <c r="F37" i="1" s="1"/>
  <c r="P38" i="1"/>
  <c r="J38" i="1" s="1"/>
  <c r="AN38" i="1" s="1"/>
  <c r="DB67" i="1"/>
  <c r="DB13" i="1"/>
  <c r="AF38" i="1"/>
  <c r="AW47" i="1"/>
  <c r="AU46" i="1"/>
  <c r="BI37" i="1"/>
  <c r="BT37" i="1" s="1"/>
  <c r="BJ38" i="1"/>
  <c r="DB24" i="1"/>
  <c r="AC37" i="1"/>
  <c r="AD38" i="1"/>
  <c r="AO36" i="1"/>
  <c r="BM36" i="1"/>
  <c r="BO36" i="1" s="1"/>
  <c r="BF59" i="1"/>
  <c r="BF60" i="1" s="1"/>
  <c r="BF61" i="1" s="1"/>
  <c r="BF62" i="1" s="1"/>
  <c r="CV38" i="1"/>
  <c r="C44" i="1"/>
  <c r="AA43" i="1"/>
  <c r="BE39" i="1"/>
  <c r="BD38" i="1"/>
  <c r="AP37" i="1"/>
  <c r="AQ38" i="1"/>
  <c r="BV36" i="1"/>
  <c r="BL36" i="1"/>
  <c r="BN36" i="1" s="1"/>
  <c r="V37" i="1"/>
  <c r="AB37" i="1" s="1"/>
  <c r="CV13" i="1"/>
  <c r="W38" i="1"/>
  <c r="BY36" i="1" l="1"/>
  <c r="BZ36" i="1" s="1"/>
  <c r="CH65" i="1"/>
  <c r="CH66" i="1" s="1"/>
  <c r="CO30" i="1"/>
  <c r="CO65" i="1" s="1"/>
  <c r="CO66" i="1" s="1"/>
  <c r="CE65" i="1"/>
  <c r="CE66" i="1" s="1"/>
  <c r="CG30" i="1"/>
  <c r="CG65" i="1" s="1"/>
  <c r="CG66" i="1" s="1"/>
  <c r="CA32" i="1"/>
  <c r="CB31" i="1"/>
  <c r="CE31" i="1"/>
  <c r="CG31" i="1" s="1"/>
  <c r="CH31" i="1"/>
  <c r="CO31" i="1" s="1"/>
  <c r="CI30" i="1"/>
  <c r="CF30" i="1"/>
  <c r="BR37" i="1"/>
  <c r="BU37" i="1" s="1"/>
  <c r="AL37" i="1"/>
  <c r="BW37" i="1"/>
  <c r="AT37" i="1"/>
  <c r="BS46" i="1"/>
  <c r="BC46" i="1"/>
  <c r="AM37" i="1"/>
  <c r="BX38" i="1"/>
  <c r="BH38" i="1"/>
  <c r="E38" i="1"/>
  <c r="F38" i="1" s="1"/>
  <c r="P39" i="1"/>
  <c r="J39" i="1" s="1"/>
  <c r="AN39" i="1" s="1"/>
  <c r="B38" i="1"/>
  <c r="AF39" i="1"/>
  <c r="AW48" i="1"/>
  <c r="AU47" i="1"/>
  <c r="BI38" i="1"/>
  <c r="BT38" i="1" s="1"/>
  <c r="BJ39" i="1"/>
  <c r="AO37" i="1"/>
  <c r="BM37" i="1"/>
  <c r="BO37" i="1" s="1"/>
  <c r="AC38" i="1"/>
  <c r="AD39" i="1"/>
  <c r="BF68" i="1"/>
  <c r="BF69" i="1" s="1"/>
  <c r="CV47" i="1"/>
  <c r="C45" i="1"/>
  <c r="AA44" i="1"/>
  <c r="BD39" i="1"/>
  <c r="BE40" i="1"/>
  <c r="AP38" i="1"/>
  <c r="AQ39" i="1"/>
  <c r="W39" i="1"/>
  <c r="V38" i="1"/>
  <c r="AB38" i="1" s="1"/>
  <c r="BV37" i="1"/>
  <c r="BL37" i="1"/>
  <c r="BN37" i="1" s="1"/>
  <c r="CP30" i="1" l="1"/>
  <c r="CI31" i="1"/>
  <c r="CI65" i="1"/>
  <c r="CI66" i="1" s="1"/>
  <c r="CF31" i="1"/>
  <c r="CF65" i="1"/>
  <c r="CF66" i="1" s="1"/>
  <c r="CA33" i="1"/>
  <c r="BR38" i="1"/>
  <c r="BU38" i="1" s="1"/>
  <c r="AL38" i="1"/>
  <c r="BW38" i="1"/>
  <c r="AT38" i="1"/>
  <c r="BS47" i="1"/>
  <c r="BC47" i="1"/>
  <c r="BX39" i="1"/>
  <c r="BH39" i="1"/>
  <c r="AM38" i="1"/>
  <c r="BY37" i="1"/>
  <c r="BZ37" i="1" s="1"/>
  <c r="E39" i="1"/>
  <c r="F39" i="1" s="1"/>
  <c r="B39" i="1"/>
  <c r="P40" i="1"/>
  <c r="J40" i="1" s="1"/>
  <c r="AN40" i="1" s="1"/>
  <c r="AF40" i="1"/>
  <c r="BJ40" i="1"/>
  <c r="BI39" i="1"/>
  <c r="BT39" i="1" s="1"/>
  <c r="AW49" i="1"/>
  <c r="AU48" i="1"/>
  <c r="AD40" i="1"/>
  <c r="AC39" i="1"/>
  <c r="AO38" i="1"/>
  <c r="BM38" i="1"/>
  <c r="BO38" i="1" s="1"/>
  <c r="C46" i="1"/>
  <c r="AA45" i="1"/>
  <c r="BE41" i="1"/>
  <c r="BD40" i="1"/>
  <c r="AP39" i="1"/>
  <c r="AQ40" i="1"/>
  <c r="BV38" i="1"/>
  <c r="BL38" i="1"/>
  <c r="BN38" i="1" s="1"/>
  <c r="W40" i="1"/>
  <c r="V39" i="1"/>
  <c r="AB39" i="1" s="1"/>
  <c r="BY38" i="1" l="1"/>
  <c r="BZ38" i="1" s="1"/>
  <c r="CP31" i="1"/>
  <c r="CP65" i="1"/>
  <c r="CP66" i="1" s="1"/>
  <c r="CA34" i="1"/>
  <c r="BR39" i="1"/>
  <c r="BU39" i="1" s="1"/>
  <c r="AL39" i="1"/>
  <c r="BW39" i="1"/>
  <c r="AT39" i="1"/>
  <c r="BS48" i="1"/>
  <c r="BC48" i="1"/>
  <c r="BX40" i="1"/>
  <c r="BH40" i="1"/>
  <c r="AM39" i="1"/>
  <c r="E40" i="1"/>
  <c r="F40" i="1" s="1"/>
  <c r="P41" i="1"/>
  <c r="J41" i="1" s="1"/>
  <c r="AN41" i="1" s="1"/>
  <c r="B40" i="1"/>
  <c r="AF41" i="1"/>
  <c r="AW50" i="1"/>
  <c r="AU49" i="1"/>
  <c r="BJ41" i="1"/>
  <c r="BI40" i="1"/>
  <c r="BT40" i="1" s="1"/>
  <c r="DB43" i="1"/>
  <c r="AO39" i="1"/>
  <c r="BM39" i="1"/>
  <c r="BO39" i="1" s="1"/>
  <c r="AD41" i="1"/>
  <c r="AC40" i="1"/>
  <c r="C47" i="1"/>
  <c r="AA46" i="1"/>
  <c r="BD41" i="1"/>
  <c r="BE42" i="1"/>
  <c r="AP40" i="1"/>
  <c r="AQ41" i="1"/>
  <c r="BV39" i="1"/>
  <c r="BL39" i="1"/>
  <c r="BN39" i="1" s="1"/>
  <c r="W41" i="1"/>
  <c r="V40" i="1"/>
  <c r="AB40" i="1" s="1"/>
  <c r="CA35" i="1" l="1"/>
  <c r="BY39" i="1"/>
  <c r="BZ39" i="1" s="1"/>
  <c r="BR40" i="1"/>
  <c r="BU40" i="1" s="1"/>
  <c r="AL40" i="1"/>
  <c r="BW40" i="1"/>
  <c r="AT40" i="1"/>
  <c r="BS49" i="1"/>
  <c r="BC49" i="1"/>
  <c r="BX41" i="1"/>
  <c r="BH41" i="1"/>
  <c r="AM40" i="1"/>
  <c r="E41" i="1"/>
  <c r="F41" i="1" s="1"/>
  <c r="B41" i="1"/>
  <c r="P42" i="1"/>
  <c r="J42" i="1" s="1"/>
  <c r="AN42" i="1" s="1"/>
  <c r="AF42" i="1"/>
  <c r="AW51" i="1"/>
  <c r="AU50" i="1"/>
  <c r="BJ42" i="1"/>
  <c r="BI41" i="1"/>
  <c r="BT41" i="1" s="1"/>
  <c r="BB53" i="1"/>
  <c r="AO40" i="1"/>
  <c r="BM40" i="1"/>
  <c r="BO40" i="1" s="1"/>
  <c r="AD42" i="1"/>
  <c r="DB26" i="1" s="1"/>
  <c r="AC41" i="1"/>
  <c r="C48" i="1"/>
  <c r="AA47" i="1"/>
  <c r="BD42" i="1"/>
  <c r="BE43" i="1"/>
  <c r="AQ42" i="1"/>
  <c r="AP41" i="1"/>
  <c r="BV40" i="1"/>
  <c r="BL40" i="1"/>
  <c r="BN40" i="1" s="1"/>
  <c r="W42" i="1"/>
  <c r="CV22" i="1" s="1"/>
  <c r="V41" i="1"/>
  <c r="AB41" i="1" s="1"/>
  <c r="CA36" i="1" l="1"/>
  <c r="BY40" i="1"/>
  <c r="BZ40" i="1" s="1"/>
  <c r="BR41" i="1"/>
  <c r="BU41" i="1" s="1"/>
  <c r="AL41" i="1"/>
  <c r="BW41" i="1"/>
  <c r="AT41" i="1"/>
  <c r="AM41" i="1"/>
  <c r="BS50" i="1"/>
  <c r="BC50" i="1"/>
  <c r="BX42" i="1"/>
  <c r="BH42" i="1"/>
  <c r="E42" i="1"/>
  <c r="F42" i="1" s="1"/>
  <c r="P43" i="1"/>
  <c r="J43" i="1" s="1"/>
  <c r="AN43" i="1" s="1"/>
  <c r="B42" i="1"/>
  <c r="CV3" i="1"/>
  <c r="DB68" i="1"/>
  <c r="AF43" i="1"/>
  <c r="DB25" i="1"/>
  <c r="BI42" i="1"/>
  <c r="BT42" i="1" s="1"/>
  <c r="BJ43" i="1"/>
  <c r="DB36" i="1"/>
  <c r="AW52" i="1"/>
  <c r="AU51" i="1"/>
  <c r="BB54" i="1"/>
  <c r="AD43" i="1"/>
  <c r="AC42" i="1"/>
  <c r="AO41" i="1"/>
  <c r="BM41" i="1"/>
  <c r="BO41" i="1" s="1"/>
  <c r="C49" i="1"/>
  <c r="AA48" i="1"/>
  <c r="BD43" i="1"/>
  <c r="BE44" i="1"/>
  <c r="AQ43" i="1"/>
  <c r="AP42" i="1"/>
  <c r="BV41" i="1"/>
  <c r="BL41" i="1"/>
  <c r="BN41" i="1" s="1"/>
  <c r="W43" i="1"/>
  <c r="V42" i="1"/>
  <c r="AB42" i="1" s="1"/>
  <c r="CA37" i="1" l="1"/>
  <c r="BY41" i="1"/>
  <c r="BZ41" i="1" s="1"/>
  <c r="CU3" i="1"/>
  <c r="DG3" i="1"/>
  <c r="BR42" i="1"/>
  <c r="BU42" i="1" s="1"/>
  <c r="DB3" i="1" s="1"/>
  <c r="AL42" i="1"/>
  <c r="BW42" i="1"/>
  <c r="AT42" i="1"/>
  <c r="BS51" i="1"/>
  <c r="BC51" i="1"/>
  <c r="BX43" i="1"/>
  <c r="BH43" i="1"/>
  <c r="AM42" i="1"/>
  <c r="E43" i="1"/>
  <c r="F43" i="1" s="1"/>
  <c r="B43" i="1"/>
  <c r="P44" i="1"/>
  <c r="J44" i="1" s="1"/>
  <c r="AN44" i="1" s="1"/>
  <c r="AF44" i="1"/>
  <c r="AW53" i="1"/>
  <c r="DB46" i="1"/>
  <c r="AU52" i="1"/>
  <c r="BJ44" i="1"/>
  <c r="BI43" i="1"/>
  <c r="BT43" i="1" s="1"/>
  <c r="BB55" i="1"/>
  <c r="AC43" i="1"/>
  <c r="AD44" i="1"/>
  <c r="AO42" i="1"/>
  <c r="BM42" i="1"/>
  <c r="BO42" i="1" s="1"/>
  <c r="C50" i="1"/>
  <c r="AA49" i="1"/>
  <c r="BD44" i="1"/>
  <c r="BE45" i="1"/>
  <c r="AQ44" i="1"/>
  <c r="AP43" i="1"/>
  <c r="BV42" i="1"/>
  <c r="BY42" i="1" s="1"/>
  <c r="DN3" i="1" s="1"/>
  <c r="BL42" i="1"/>
  <c r="BN42" i="1" s="1"/>
  <c r="DK3" i="1" s="1"/>
  <c r="W44" i="1"/>
  <c r="V43" i="1"/>
  <c r="AB43" i="1" s="1"/>
  <c r="CA38" i="1" l="1"/>
  <c r="BR43" i="1"/>
  <c r="BU43" i="1" s="1"/>
  <c r="AL43" i="1"/>
  <c r="BW43" i="1"/>
  <c r="AT43" i="1"/>
  <c r="BS52" i="1"/>
  <c r="BC52" i="1"/>
  <c r="BX44" i="1"/>
  <c r="BH44" i="1"/>
  <c r="AM43" i="1"/>
  <c r="E44" i="1"/>
  <c r="F44" i="1" s="1"/>
  <c r="B44" i="1"/>
  <c r="P45" i="1"/>
  <c r="J45" i="1" s="1"/>
  <c r="AN45" i="1" s="1"/>
  <c r="BZ42" i="1"/>
  <c r="AF45" i="1"/>
  <c r="BJ45" i="1"/>
  <c r="BI44" i="1"/>
  <c r="BT44" i="1" s="1"/>
  <c r="AW54" i="1"/>
  <c r="AU53" i="1"/>
  <c r="CY3" i="1"/>
  <c r="BB56" i="1"/>
  <c r="AO43" i="1"/>
  <c r="BM43" i="1"/>
  <c r="BO43" i="1" s="1"/>
  <c r="AC44" i="1"/>
  <c r="AD45" i="1"/>
  <c r="C51" i="1"/>
  <c r="AA50" i="1"/>
  <c r="BD45" i="1"/>
  <c r="BE46" i="1"/>
  <c r="AQ45" i="1"/>
  <c r="CV27" i="1" s="1"/>
  <c r="AP44" i="1"/>
  <c r="BV43" i="1"/>
  <c r="BY43" i="1" s="1"/>
  <c r="BL43" i="1"/>
  <c r="BN43" i="1" s="1"/>
  <c r="W45" i="1"/>
  <c r="V44" i="1"/>
  <c r="AB44" i="1" s="1"/>
  <c r="CA39" i="1" l="1"/>
  <c r="BR44" i="1"/>
  <c r="BU44" i="1" s="1"/>
  <c r="AL44" i="1"/>
  <c r="BW44" i="1"/>
  <c r="AT44" i="1"/>
  <c r="BS53" i="1"/>
  <c r="BC53" i="1"/>
  <c r="BX45" i="1"/>
  <c r="BH45" i="1"/>
  <c r="E45" i="1"/>
  <c r="F45" i="1" s="1"/>
  <c r="B45" i="1"/>
  <c r="P46" i="1"/>
  <c r="J46" i="1" s="1"/>
  <c r="AN46" i="1" s="1"/>
  <c r="AM44" i="1"/>
  <c r="AF46" i="1"/>
  <c r="AW55" i="1"/>
  <c r="AU54" i="1"/>
  <c r="BZ43" i="1"/>
  <c r="BJ46" i="1"/>
  <c r="BI45" i="1"/>
  <c r="BT45" i="1" s="1"/>
  <c r="DD3" i="1"/>
  <c r="DC3" i="1"/>
  <c r="BB57" i="1"/>
  <c r="AO44" i="1"/>
  <c r="BM44" i="1"/>
  <c r="BO44" i="1" s="1"/>
  <c r="AD46" i="1"/>
  <c r="AC45" i="1"/>
  <c r="C52" i="1"/>
  <c r="AA51" i="1"/>
  <c r="BD46" i="1"/>
  <c r="BE47" i="1"/>
  <c r="AQ46" i="1"/>
  <c r="CV18" i="1" s="1"/>
  <c r="AP45" i="1"/>
  <c r="W46" i="1"/>
  <c r="V45" i="1"/>
  <c r="AB45" i="1" s="1"/>
  <c r="BV44" i="1"/>
  <c r="BY44" i="1" s="1"/>
  <c r="BL44" i="1"/>
  <c r="BN44" i="1" s="1"/>
  <c r="CA40" i="1" l="1"/>
  <c r="BR45" i="1"/>
  <c r="BU45" i="1" s="1"/>
  <c r="AL45" i="1"/>
  <c r="BW45" i="1"/>
  <c r="AT45" i="1"/>
  <c r="BS54" i="1"/>
  <c r="BC54" i="1"/>
  <c r="BX46" i="1"/>
  <c r="BH46" i="1"/>
  <c r="AM45" i="1"/>
  <c r="BZ44" i="1"/>
  <c r="E46" i="1"/>
  <c r="F46" i="1" s="1"/>
  <c r="P47" i="1"/>
  <c r="J47" i="1" s="1"/>
  <c r="AN47" i="1" s="1"/>
  <c r="B46" i="1"/>
  <c r="AF47" i="1"/>
  <c r="BJ47" i="1"/>
  <c r="BI46" i="1"/>
  <c r="BT46" i="1" s="1"/>
  <c r="AW56" i="1"/>
  <c r="AU55" i="1"/>
  <c r="BB58" i="1"/>
  <c r="AO45" i="1"/>
  <c r="BM45" i="1"/>
  <c r="BO45" i="1" s="1"/>
  <c r="AD47" i="1"/>
  <c r="AC46" i="1"/>
  <c r="C53" i="1"/>
  <c r="AA52" i="1"/>
  <c r="CV57" i="1"/>
  <c r="BD47" i="1"/>
  <c r="BE48" i="1"/>
  <c r="AQ47" i="1"/>
  <c r="AP46" i="1"/>
  <c r="BV45" i="1"/>
  <c r="BY45" i="1" s="1"/>
  <c r="BL45" i="1"/>
  <c r="BN45" i="1" s="1"/>
  <c r="W47" i="1"/>
  <c r="V46" i="1"/>
  <c r="AB46" i="1" s="1"/>
  <c r="CA41" i="1" l="1"/>
  <c r="BR46" i="1"/>
  <c r="BU46" i="1" s="1"/>
  <c r="AL46" i="1"/>
  <c r="BW46" i="1"/>
  <c r="AT46" i="1"/>
  <c r="BS55" i="1"/>
  <c r="BC55" i="1"/>
  <c r="BX47" i="1"/>
  <c r="BH47" i="1"/>
  <c r="AM46" i="1"/>
  <c r="E47" i="1"/>
  <c r="F47" i="1" s="1"/>
  <c r="B47" i="1"/>
  <c r="P48" i="1"/>
  <c r="J48" i="1" s="1"/>
  <c r="AN48" i="1" s="1"/>
  <c r="AF48" i="1"/>
  <c r="AW57" i="1"/>
  <c r="AU56" i="1"/>
  <c r="BZ45" i="1"/>
  <c r="BJ48" i="1"/>
  <c r="BI47" i="1"/>
  <c r="BT47" i="1" s="1"/>
  <c r="BB59" i="1"/>
  <c r="AO46" i="1"/>
  <c r="BM46" i="1"/>
  <c r="BO46" i="1" s="1"/>
  <c r="AD48" i="1"/>
  <c r="AC47" i="1"/>
  <c r="C54" i="1"/>
  <c r="AA53" i="1"/>
  <c r="BE49" i="1"/>
  <c r="BD48" i="1"/>
  <c r="AQ48" i="1"/>
  <c r="AP47" i="1"/>
  <c r="W48" i="1"/>
  <c r="V47" i="1"/>
  <c r="AB47" i="1" s="1"/>
  <c r="BV46" i="1"/>
  <c r="BY46" i="1" s="1"/>
  <c r="BL46" i="1"/>
  <c r="BN46" i="1" s="1"/>
  <c r="CA42" i="1" l="1"/>
  <c r="BR47" i="1"/>
  <c r="BU47" i="1" s="1"/>
  <c r="AL47" i="1"/>
  <c r="BW47" i="1"/>
  <c r="AT47" i="1"/>
  <c r="AM47" i="1"/>
  <c r="BS56" i="1"/>
  <c r="BC56" i="1"/>
  <c r="BX48" i="1"/>
  <c r="BH48" i="1"/>
  <c r="BZ46" i="1"/>
  <c r="E48" i="1"/>
  <c r="F48" i="1" s="1"/>
  <c r="P49" i="1"/>
  <c r="J49" i="1" s="1"/>
  <c r="AN49" i="1" s="1"/>
  <c r="B48" i="1"/>
  <c r="AF49" i="1"/>
  <c r="BJ49" i="1"/>
  <c r="BI48" i="1"/>
  <c r="BT48" i="1" s="1"/>
  <c r="AW58" i="1"/>
  <c r="AU57" i="1"/>
  <c r="BB60" i="1"/>
  <c r="AO47" i="1"/>
  <c r="BM47" i="1"/>
  <c r="BO47" i="1" s="1"/>
  <c r="AD49" i="1"/>
  <c r="AC48" i="1"/>
  <c r="C55" i="1"/>
  <c r="AA54" i="1"/>
  <c r="BE50" i="1"/>
  <c r="BD49" i="1"/>
  <c r="AQ49" i="1"/>
  <c r="AP48" i="1"/>
  <c r="BV47" i="1"/>
  <c r="BY47" i="1" s="1"/>
  <c r="BL47" i="1"/>
  <c r="BN47" i="1" s="1"/>
  <c r="W49" i="1"/>
  <c r="V48" i="1"/>
  <c r="AB48" i="1" s="1"/>
  <c r="CA43" i="1" l="1"/>
  <c r="BR48" i="1"/>
  <c r="BU48" i="1" s="1"/>
  <c r="AL48" i="1"/>
  <c r="BW48" i="1"/>
  <c r="AT48" i="1"/>
  <c r="BS57" i="1"/>
  <c r="BC57" i="1"/>
  <c r="BX49" i="1"/>
  <c r="BH49" i="1"/>
  <c r="AM48" i="1"/>
  <c r="E49" i="1"/>
  <c r="F49" i="1" s="1"/>
  <c r="P50" i="1"/>
  <c r="J50" i="1" s="1"/>
  <c r="AN50" i="1" s="1"/>
  <c r="B49" i="1"/>
  <c r="AF50" i="1"/>
  <c r="AW59" i="1"/>
  <c r="AU58" i="1"/>
  <c r="BZ47" i="1"/>
  <c r="BJ50" i="1"/>
  <c r="BI49" i="1"/>
  <c r="BT49" i="1" s="1"/>
  <c r="BB61" i="1"/>
  <c r="AO48" i="1"/>
  <c r="BM48" i="1"/>
  <c r="BO48" i="1" s="1"/>
  <c r="AD50" i="1"/>
  <c r="AC49" i="1"/>
  <c r="C56" i="1"/>
  <c r="AA55" i="1"/>
  <c r="BE51" i="1"/>
  <c r="BD50" i="1"/>
  <c r="AQ50" i="1"/>
  <c r="AP49" i="1"/>
  <c r="BV48" i="1"/>
  <c r="BL48" i="1"/>
  <c r="BN48" i="1" s="1"/>
  <c r="W50" i="1"/>
  <c r="V49" i="1"/>
  <c r="AB49" i="1" s="1"/>
  <c r="CA44" i="1" l="1"/>
  <c r="BY48" i="1"/>
  <c r="BZ48" i="1" s="1"/>
  <c r="BR49" i="1"/>
  <c r="BU49" i="1" s="1"/>
  <c r="AL49" i="1"/>
  <c r="BW49" i="1"/>
  <c r="AT49" i="1"/>
  <c r="BS58" i="1"/>
  <c r="BC58" i="1"/>
  <c r="BX50" i="1"/>
  <c r="BH50" i="1"/>
  <c r="AM49" i="1"/>
  <c r="E50" i="1"/>
  <c r="F50" i="1" s="1"/>
  <c r="B50" i="1"/>
  <c r="P51" i="1"/>
  <c r="J51" i="1" s="1"/>
  <c r="AN51" i="1" s="1"/>
  <c r="AF51" i="1"/>
  <c r="BJ51" i="1"/>
  <c r="BI50" i="1"/>
  <c r="BT50" i="1" s="1"/>
  <c r="AW60" i="1"/>
  <c r="AU59" i="1"/>
  <c r="BB62" i="1"/>
  <c r="DB55" i="1" s="1"/>
  <c r="AO49" i="1"/>
  <c r="BM49" i="1"/>
  <c r="BO49" i="1" s="1"/>
  <c r="AD51" i="1"/>
  <c r="AC50" i="1"/>
  <c r="C57" i="1"/>
  <c r="AA56" i="1"/>
  <c r="BE52" i="1"/>
  <c r="BD51" i="1"/>
  <c r="AQ51" i="1"/>
  <c r="AP50" i="1"/>
  <c r="BV49" i="1"/>
  <c r="BL49" i="1"/>
  <c r="BN49" i="1" s="1"/>
  <c r="W51" i="1"/>
  <c r="V50" i="1"/>
  <c r="AB50" i="1" s="1"/>
  <c r="BY49" i="1" l="1"/>
  <c r="BZ49" i="1" s="1"/>
  <c r="CA45" i="1"/>
  <c r="BR50" i="1"/>
  <c r="AL50" i="1"/>
  <c r="BW50" i="1"/>
  <c r="AT50" i="1"/>
  <c r="BS59" i="1"/>
  <c r="BC59" i="1"/>
  <c r="BX51" i="1"/>
  <c r="BH51" i="1"/>
  <c r="AM50" i="1"/>
  <c r="BU50" i="1"/>
  <c r="E51" i="1"/>
  <c r="F51" i="1" s="1"/>
  <c r="B51" i="1"/>
  <c r="P52" i="1"/>
  <c r="J52" i="1" s="1"/>
  <c r="AN52" i="1" s="1"/>
  <c r="AF52" i="1"/>
  <c r="AF53" i="1" s="1"/>
  <c r="AF54" i="1" s="1"/>
  <c r="AF55" i="1" s="1"/>
  <c r="AF56" i="1" s="1"/>
  <c r="AF57" i="1" s="1"/>
  <c r="AF58" i="1" s="1"/>
  <c r="AF59" i="1" s="1"/>
  <c r="AF60" i="1" s="1"/>
  <c r="AF61" i="1" s="1"/>
  <c r="AF62" i="1" s="1"/>
  <c r="AW61" i="1"/>
  <c r="AU60" i="1"/>
  <c r="BJ52" i="1"/>
  <c r="BI51" i="1"/>
  <c r="BT51" i="1" s="1"/>
  <c r="BB68" i="1"/>
  <c r="BB69" i="1" s="1"/>
  <c r="AD52" i="1"/>
  <c r="DB38" i="1" s="1"/>
  <c r="AC51" i="1"/>
  <c r="AO50" i="1"/>
  <c r="BM50" i="1"/>
  <c r="BO50" i="1" s="1"/>
  <c r="C58" i="1"/>
  <c r="AA57" i="1"/>
  <c r="BE53" i="1"/>
  <c r="BD52" i="1"/>
  <c r="AP51" i="1"/>
  <c r="AQ52" i="1"/>
  <c r="BV50" i="1"/>
  <c r="BY50" i="1" s="1"/>
  <c r="BL50" i="1"/>
  <c r="BN50" i="1" s="1"/>
  <c r="W52" i="1"/>
  <c r="CV31" i="1" s="1"/>
  <c r="V51" i="1"/>
  <c r="AB51" i="1" s="1"/>
  <c r="CA46" i="1" l="1"/>
  <c r="BR51" i="1"/>
  <c r="BU51" i="1" s="1"/>
  <c r="AL51" i="1"/>
  <c r="BW51" i="1"/>
  <c r="AT51" i="1"/>
  <c r="AM51" i="1"/>
  <c r="BS60" i="1"/>
  <c r="BC60" i="1"/>
  <c r="BX52" i="1"/>
  <c r="BH52" i="1"/>
  <c r="E52" i="1"/>
  <c r="F52" i="1" s="1"/>
  <c r="P53" i="1"/>
  <c r="J53" i="1" s="1"/>
  <c r="AN53" i="1" s="1"/>
  <c r="B52" i="1"/>
  <c r="DB69" i="1"/>
  <c r="BZ50" i="1"/>
  <c r="DB37" i="1"/>
  <c r="BI52" i="1"/>
  <c r="BT52" i="1" s="1"/>
  <c r="BJ53" i="1"/>
  <c r="DB48" i="1"/>
  <c r="AW62" i="1"/>
  <c r="AU61" i="1"/>
  <c r="AO51" i="1"/>
  <c r="BM51" i="1"/>
  <c r="BO51" i="1" s="1"/>
  <c r="AC52" i="1"/>
  <c r="AD53" i="1"/>
  <c r="C59" i="1"/>
  <c r="AA58" i="1"/>
  <c r="BD53" i="1"/>
  <c r="BE54" i="1"/>
  <c r="CV30" i="1" s="1"/>
  <c r="CV36" i="1"/>
  <c r="AQ53" i="1"/>
  <c r="AP52" i="1"/>
  <c r="W53" i="1"/>
  <c r="V52" i="1"/>
  <c r="AB52" i="1" s="1"/>
  <c r="BV51" i="1"/>
  <c r="BY51" i="1" s="1"/>
  <c r="BL51" i="1"/>
  <c r="BN51" i="1" s="1"/>
  <c r="CA47" i="1" l="1"/>
  <c r="BR52" i="1"/>
  <c r="BU52" i="1" s="1"/>
  <c r="AL52" i="1"/>
  <c r="BW52" i="1"/>
  <c r="AT52" i="1"/>
  <c r="AM52" i="1"/>
  <c r="BS61" i="1"/>
  <c r="BC61" i="1"/>
  <c r="BX53" i="1"/>
  <c r="BH53" i="1"/>
  <c r="BZ51" i="1"/>
  <c r="E53" i="1"/>
  <c r="F53" i="1" s="1"/>
  <c r="B53" i="1"/>
  <c r="P54" i="1"/>
  <c r="J54" i="1" s="1"/>
  <c r="AN54" i="1" s="1"/>
  <c r="AW68" i="1"/>
  <c r="AW69" i="1" s="1"/>
  <c r="DB58" i="1"/>
  <c r="AU62" i="1"/>
  <c r="BC62" i="1" s="1"/>
  <c r="BC68" i="1" s="1"/>
  <c r="BC69" i="1" s="1"/>
  <c r="BI53" i="1"/>
  <c r="BT53" i="1" s="1"/>
  <c r="BJ54" i="1"/>
  <c r="AC53" i="1"/>
  <c r="AD54" i="1"/>
  <c r="AO52" i="1"/>
  <c r="BM52" i="1"/>
  <c r="BO52" i="1" s="1"/>
  <c r="C60" i="1"/>
  <c r="AA59" i="1"/>
  <c r="BD54" i="1"/>
  <c r="BE55" i="1"/>
  <c r="CV21" i="1" s="1"/>
  <c r="AP53" i="1"/>
  <c r="AQ54" i="1"/>
  <c r="BV52" i="1"/>
  <c r="BY52" i="1" s="1"/>
  <c r="BL52" i="1"/>
  <c r="BN52" i="1" s="1"/>
  <c r="V53" i="1"/>
  <c r="AB53" i="1" s="1"/>
  <c r="W54" i="1"/>
  <c r="CA48" i="1" l="1"/>
  <c r="BR53" i="1"/>
  <c r="BU53" i="1" s="1"/>
  <c r="AL53" i="1"/>
  <c r="BW53" i="1"/>
  <c r="AT53" i="1"/>
  <c r="AM53" i="1"/>
  <c r="BX54" i="1"/>
  <c r="BH54" i="1"/>
  <c r="E54" i="1"/>
  <c r="F54" i="1" s="1"/>
  <c r="B54" i="1"/>
  <c r="P55" i="1"/>
  <c r="J55" i="1" s="1"/>
  <c r="AN55" i="1" s="1"/>
  <c r="BZ52" i="1"/>
  <c r="BJ55" i="1"/>
  <c r="BI54" i="1"/>
  <c r="BT54" i="1" s="1"/>
  <c r="AU68" i="1"/>
  <c r="AU69" i="1" s="1"/>
  <c r="BS62" i="1"/>
  <c r="BS68" i="1" s="1"/>
  <c r="BS69" i="1" s="1"/>
  <c r="AD55" i="1"/>
  <c r="AC54" i="1"/>
  <c r="AO53" i="1"/>
  <c r="BM53" i="1"/>
  <c r="BO53" i="1" s="1"/>
  <c r="C61" i="1"/>
  <c r="C62" i="1" s="1"/>
  <c r="DH4" i="1" s="1"/>
  <c r="AA60" i="1"/>
  <c r="BE56" i="1"/>
  <c r="BD55" i="1"/>
  <c r="AP54" i="1"/>
  <c r="AQ55" i="1"/>
  <c r="V54" i="1"/>
  <c r="AB54" i="1" s="1"/>
  <c r="W55" i="1"/>
  <c r="BV53" i="1"/>
  <c r="BL53" i="1"/>
  <c r="BN53" i="1" s="1"/>
  <c r="BY53" i="1" l="1"/>
  <c r="BZ53" i="1" s="1"/>
  <c r="CA49" i="1"/>
  <c r="BR54" i="1"/>
  <c r="BU54" i="1" s="1"/>
  <c r="AL54" i="1"/>
  <c r="AM54" i="1"/>
  <c r="BW54" i="1"/>
  <c r="AT54" i="1"/>
  <c r="BX55" i="1"/>
  <c r="BH55" i="1"/>
  <c r="E55" i="1"/>
  <c r="F55" i="1" s="1"/>
  <c r="P56" i="1"/>
  <c r="J56" i="1" s="1"/>
  <c r="AN56" i="1" s="1"/>
  <c r="B55" i="1"/>
  <c r="BJ56" i="1"/>
  <c r="BI55" i="1"/>
  <c r="BT55" i="1" s="1"/>
  <c r="AO54" i="1"/>
  <c r="BM54" i="1"/>
  <c r="BO54" i="1" s="1"/>
  <c r="AD56" i="1"/>
  <c r="AC55" i="1"/>
  <c r="AA61" i="1"/>
  <c r="BE57" i="1"/>
  <c r="BD56" i="1"/>
  <c r="AP55" i="1"/>
  <c r="AQ56" i="1"/>
  <c r="V55" i="1"/>
  <c r="AB55" i="1" s="1"/>
  <c r="W56" i="1"/>
  <c r="BV54" i="1"/>
  <c r="BL54" i="1"/>
  <c r="BN54" i="1" s="1"/>
  <c r="CA50" i="1" l="1"/>
  <c r="BR55" i="1"/>
  <c r="AL55" i="1"/>
  <c r="BW55" i="1"/>
  <c r="AT55" i="1"/>
  <c r="BX56" i="1"/>
  <c r="BH56" i="1"/>
  <c r="BU55" i="1"/>
  <c r="AM55" i="1"/>
  <c r="BY54" i="1"/>
  <c r="BZ54" i="1" s="1"/>
  <c r="E56" i="1"/>
  <c r="F56" i="1" s="1"/>
  <c r="B56" i="1"/>
  <c r="P57" i="1"/>
  <c r="J57" i="1" s="1"/>
  <c r="AN57" i="1" s="1"/>
  <c r="BJ57" i="1"/>
  <c r="BI56" i="1"/>
  <c r="BT56" i="1" s="1"/>
  <c r="AO55" i="1"/>
  <c r="BM55" i="1"/>
  <c r="BO55" i="1" s="1"/>
  <c r="AD57" i="1"/>
  <c r="AC56" i="1"/>
  <c r="C68" i="1"/>
  <c r="C69" i="1" s="1"/>
  <c r="AA62" i="1"/>
  <c r="AA68" i="1" s="1"/>
  <c r="AA69" i="1" s="1"/>
  <c r="CV58" i="1"/>
  <c r="BE58" i="1"/>
  <c r="CV39" i="1" s="1"/>
  <c r="BD57" i="1"/>
  <c r="AP56" i="1"/>
  <c r="AQ57" i="1"/>
  <c r="V56" i="1"/>
  <c r="AB56" i="1" s="1"/>
  <c r="W57" i="1"/>
  <c r="BV55" i="1"/>
  <c r="BL55" i="1"/>
  <c r="BN55" i="1" s="1"/>
  <c r="CA51" i="1" l="1"/>
  <c r="BR56" i="1"/>
  <c r="BU56" i="1" s="1"/>
  <c r="AL56" i="1"/>
  <c r="AM56" i="1"/>
  <c r="BW56" i="1"/>
  <c r="AT56" i="1"/>
  <c r="BX57" i="1"/>
  <c r="BH57" i="1"/>
  <c r="BY55" i="1"/>
  <c r="BZ55" i="1" s="1"/>
  <c r="E57" i="1"/>
  <c r="F57" i="1" s="1"/>
  <c r="P58" i="1"/>
  <c r="J58" i="1" s="1"/>
  <c r="AN58" i="1" s="1"/>
  <c r="B57" i="1"/>
  <c r="BJ58" i="1"/>
  <c r="BI57" i="1"/>
  <c r="BT57" i="1" s="1"/>
  <c r="AO56" i="1"/>
  <c r="BM56" i="1"/>
  <c r="BO56" i="1" s="1"/>
  <c r="AD58" i="1"/>
  <c r="AC57" i="1"/>
  <c r="BE59" i="1"/>
  <c r="BD58" i="1"/>
  <c r="AQ58" i="1"/>
  <c r="AP57" i="1"/>
  <c r="W58" i="1"/>
  <c r="V57" i="1"/>
  <c r="AB57" i="1" s="1"/>
  <c r="BV56" i="1"/>
  <c r="BL56" i="1"/>
  <c r="BN56" i="1" s="1"/>
  <c r="CA52" i="1" l="1"/>
  <c r="BY56" i="1"/>
  <c r="BZ56" i="1" s="1"/>
  <c r="BR57" i="1"/>
  <c r="AL57" i="1"/>
  <c r="AM57" i="1"/>
  <c r="BW57" i="1"/>
  <c r="AT57" i="1"/>
  <c r="BX58" i="1"/>
  <c r="BH58" i="1"/>
  <c r="BU57" i="1"/>
  <c r="E58" i="1"/>
  <c r="F58" i="1" s="1"/>
  <c r="P59" i="1"/>
  <c r="J59" i="1" s="1"/>
  <c r="AN59" i="1" s="1"/>
  <c r="B58" i="1"/>
  <c r="BJ59" i="1"/>
  <c r="BI58" i="1"/>
  <c r="BT58" i="1" s="1"/>
  <c r="AO57" i="1"/>
  <c r="BM57" i="1"/>
  <c r="BO57" i="1" s="1"/>
  <c r="AD59" i="1"/>
  <c r="AC58" i="1"/>
  <c r="BE60" i="1"/>
  <c r="BD59" i="1"/>
  <c r="AQ59" i="1"/>
  <c r="AP58" i="1"/>
  <c r="BV57" i="1"/>
  <c r="BL57" i="1"/>
  <c r="BN57" i="1" s="1"/>
  <c r="W59" i="1"/>
  <c r="V58" i="1"/>
  <c r="AB58" i="1" s="1"/>
  <c r="CA53" i="1" l="1"/>
  <c r="BR58" i="1"/>
  <c r="BU58" i="1" s="1"/>
  <c r="AL58" i="1"/>
  <c r="AM58" i="1"/>
  <c r="BY57" i="1"/>
  <c r="BW58" i="1"/>
  <c r="AT58" i="1"/>
  <c r="BX59" i="1"/>
  <c r="BH59" i="1"/>
  <c r="BZ57" i="1"/>
  <c r="E59" i="1"/>
  <c r="F59" i="1" s="1"/>
  <c r="P60" i="1"/>
  <c r="J60" i="1" s="1"/>
  <c r="AN60" i="1" s="1"/>
  <c r="B59" i="1"/>
  <c r="BJ60" i="1"/>
  <c r="BI59" i="1"/>
  <c r="BT59" i="1" s="1"/>
  <c r="AO58" i="1"/>
  <c r="BM58" i="1"/>
  <c r="BO58" i="1" s="1"/>
  <c r="AD60" i="1"/>
  <c r="AC59" i="1"/>
  <c r="BE61" i="1"/>
  <c r="BD60" i="1"/>
  <c r="AQ60" i="1"/>
  <c r="AP59" i="1"/>
  <c r="BV58" i="1"/>
  <c r="BL58" i="1"/>
  <c r="BN58" i="1" s="1"/>
  <c r="W60" i="1"/>
  <c r="V59" i="1"/>
  <c r="AB59" i="1" s="1"/>
  <c r="CA54" i="1" l="1"/>
  <c r="BR59" i="1"/>
  <c r="BU59" i="1" s="1"/>
  <c r="AL59" i="1"/>
  <c r="AM59" i="1"/>
  <c r="BY58" i="1"/>
  <c r="BW59" i="1"/>
  <c r="AT59" i="1"/>
  <c r="BX60" i="1"/>
  <c r="BH60" i="1"/>
  <c r="BZ58" i="1"/>
  <c r="E60" i="1"/>
  <c r="F60" i="1" s="1"/>
  <c r="P61" i="1"/>
  <c r="B60" i="1"/>
  <c r="BJ61" i="1"/>
  <c r="BI60" i="1"/>
  <c r="BT60" i="1" s="1"/>
  <c r="AO59" i="1"/>
  <c r="BM59" i="1"/>
  <c r="BO59" i="1" s="1"/>
  <c r="AD61" i="1"/>
  <c r="AC60" i="1"/>
  <c r="BE62" i="1"/>
  <c r="BD61" i="1"/>
  <c r="AQ61" i="1"/>
  <c r="AP60" i="1"/>
  <c r="BV59" i="1"/>
  <c r="BL59" i="1"/>
  <c r="BN59" i="1" s="1"/>
  <c r="W61" i="1"/>
  <c r="V60" i="1"/>
  <c r="AB60" i="1" s="1"/>
  <c r="CA55" i="1" l="1"/>
  <c r="J61" i="1"/>
  <c r="AN61" i="1" s="1"/>
  <c r="BR60" i="1"/>
  <c r="BU60" i="1" s="1"/>
  <c r="AL60" i="1"/>
  <c r="AM60" i="1"/>
  <c r="BW60" i="1"/>
  <c r="AT60" i="1"/>
  <c r="BX61" i="1"/>
  <c r="BH61" i="1"/>
  <c r="BY59" i="1"/>
  <c r="BZ59" i="1" s="1"/>
  <c r="E61" i="1"/>
  <c r="F61" i="1" s="1"/>
  <c r="P62" i="1"/>
  <c r="B61" i="1"/>
  <c r="DB49" i="1"/>
  <c r="BJ62" i="1"/>
  <c r="DB60" i="1" s="1"/>
  <c r="BI61" i="1"/>
  <c r="BT61" i="1" s="1"/>
  <c r="AO60" i="1"/>
  <c r="BM60" i="1"/>
  <c r="BO60" i="1" s="1"/>
  <c r="AD62" i="1"/>
  <c r="DB50" i="1" s="1"/>
  <c r="AC61" i="1"/>
  <c r="CV48" i="1"/>
  <c r="BE68" i="1"/>
  <c r="BE69" i="1" s="1"/>
  <c r="BD62" i="1"/>
  <c r="BH62" i="1" s="1"/>
  <c r="BH68" i="1" s="1"/>
  <c r="BH69" i="1" s="1"/>
  <c r="AQ62" i="1"/>
  <c r="AP61" i="1"/>
  <c r="W62" i="1"/>
  <c r="CV40" i="1" s="1"/>
  <c r="V61" i="1"/>
  <c r="AB61" i="1" s="1"/>
  <c r="BV60" i="1"/>
  <c r="BL60" i="1"/>
  <c r="BN60" i="1" s="1"/>
  <c r="CA56" i="1" l="1"/>
  <c r="J62" i="1"/>
  <c r="J68" i="1" s="1"/>
  <c r="J69" i="1" s="1"/>
  <c r="P68" i="1"/>
  <c r="BR61" i="1"/>
  <c r="BU61" i="1" s="1"/>
  <c r="AL61" i="1"/>
  <c r="AM61" i="1"/>
  <c r="BW61" i="1"/>
  <c r="AT61" i="1"/>
  <c r="BD68" i="1"/>
  <c r="BD69" i="1" s="1"/>
  <c r="BX62" i="1"/>
  <c r="BX68" i="1" s="1"/>
  <c r="BX69" i="1" s="1"/>
  <c r="BY60" i="1"/>
  <c r="BZ60" i="1" s="1"/>
  <c r="E62" i="1"/>
  <c r="AM62" i="1" s="1"/>
  <c r="AM68" i="1" s="1"/>
  <c r="AM69" i="1" s="1"/>
  <c r="CV4" i="1"/>
  <c r="P69" i="1"/>
  <c r="DB70" i="1"/>
  <c r="B62" i="1"/>
  <c r="DG4" i="1" s="1"/>
  <c r="AF68" i="1"/>
  <c r="AF69" i="1" s="1"/>
  <c r="BJ68" i="1"/>
  <c r="BJ69" i="1" s="1"/>
  <c r="BI62" i="1"/>
  <c r="BT62" i="1" s="1"/>
  <c r="BT68" i="1" s="1"/>
  <c r="BT69" i="1" s="1"/>
  <c r="AO61" i="1"/>
  <c r="BM61" i="1"/>
  <c r="BO61" i="1" s="1"/>
  <c r="AC62" i="1"/>
  <c r="AD68" i="1"/>
  <c r="AD69" i="1" s="1"/>
  <c r="AP62" i="1"/>
  <c r="AT62" i="1" s="1"/>
  <c r="AT68" i="1" s="1"/>
  <c r="AT69" i="1" s="1"/>
  <c r="AQ68" i="1"/>
  <c r="AQ69" i="1" s="1"/>
  <c r="CV45" i="1"/>
  <c r="BV61" i="1"/>
  <c r="BL61" i="1"/>
  <c r="BN61" i="1" s="1"/>
  <c r="V62" i="1"/>
  <c r="AB62" i="1" s="1"/>
  <c r="AB68" i="1" s="1"/>
  <c r="AB69" i="1" s="1"/>
  <c r="W68" i="1"/>
  <c r="W69" i="1" s="1"/>
  <c r="AN62" i="1" l="1"/>
  <c r="AN68" i="1" s="1"/>
  <c r="AN69" i="1" s="1"/>
  <c r="CA57" i="1"/>
  <c r="BR62" i="1"/>
  <c r="BU62" i="1" s="1"/>
  <c r="DB4" i="1" s="1"/>
  <c r="AL62" i="1"/>
  <c r="AL68" i="1" s="1"/>
  <c r="AL69" i="1" s="1"/>
  <c r="BY61" i="1"/>
  <c r="BZ61" i="1" s="1"/>
  <c r="BI68" i="1"/>
  <c r="BI69" i="1" s="1"/>
  <c r="B68" i="1"/>
  <c r="CU4" i="1"/>
  <c r="F62" i="1"/>
  <c r="E68" i="1"/>
  <c r="E69" i="1" s="1"/>
  <c r="AO62" i="1"/>
  <c r="AO68" i="1" s="1"/>
  <c r="AO69" i="1" s="1"/>
  <c r="AC68" i="1"/>
  <c r="AC69" i="1" s="1"/>
  <c r="BM62" i="1"/>
  <c r="AP68" i="1"/>
  <c r="AP69" i="1" s="1"/>
  <c r="BW62" i="1"/>
  <c r="BW68" i="1" s="1"/>
  <c r="BW69" i="1" s="1"/>
  <c r="BV62" i="1"/>
  <c r="V68" i="1"/>
  <c r="V69" i="1" s="1"/>
  <c r="BL62" i="1"/>
  <c r="CA58" i="1" l="1"/>
  <c r="BR68" i="1"/>
  <c r="BR69" i="1" s="1"/>
  <c r="BY62" i="1"/>
  <c r="BU68" i="1"/>
  <c r="BU69" i="1" s="1"/>
  <c r="BO62" i="1"/>
  <c r="CY4" i="1" s="1"/>
  <c r="BM68" i="1"/>
  <c r="BM69" i="1" s="1"/>
  <c r="BN62" i="1"/>
  <c r="DK4" i="1" s="1"/>
  <c r="BL68" i="1"/>
  <c r="BL69" i="1" s="1"/>
  <c r="BV68" i="1"/>
  <c r="BV69" i="1" s="1"/>
  <c r="CA59" i="1" l="1"/>
  <c r="BY68" i="1"/>
  <c r="BY69" i="1" s="1"/>
  <c r="DN4" i="1"/>
  <c r="BZ62" i="1"/>
  <c r="BZ68" i="1" s="1"/>
  <c r="BZ69" i="1" s="1"/>
  <c r="DC4" i="1"/>
  <c r="DD4" i="1"/>
  <c r="BO68" i="1"/>
  <c r="BO69" i="1" s="1"/>
  <c r="BN68" i="1"/>
  <c r="BN69" i="1" s="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s="1"/>
  <c r="S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68" i="1" s="1"/>
  <c r="O69" i="1" s="1"/>
  <c r="O33" i="1"/>
  <c r="O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68" i="1" s="1"/>
  <c r="N69" i="1" s="1"/>
  <c r="N33" i="1"/>
  <c r="N2" i="1"/>
  <c r="CA60" i="1" l="1"/>
  <c r="T33" i="1"/>
  <c r="T34" i="1" s="1"/>
  <c r="DJ2" i="1"/>
  <c r="Q32" i="1"/>
  <c r="CB32" i="1" s="1"/>
  <c r="S33" i="1"/>
  <c r="O65" i="1"/>
  <c r="O66" i="1" s="1"/>
  <c r="T65" i="1"/>
  <c r="T66" i="1" s="1"/>
  <c r="N65" i="1"/>
  <c r="N66" i="1" s="1"/>
  <c r="S65" i="1"/>
  <c r="S66" i="1" s="1"/>
  <c r="U65" i="1"/>
  <c r="U66" i="1" s="1"/>
  <c r="CA61" i="1" l="1"/>
  <c r="R33" i="1"/>
  <c r="CE32" i="1"/>
  <c r="CH32" i="1"/>
  <c r="BP33" i="1"/>
  <c r="S34" i="1"/>
  <c r="Q33" i="1"/>
  <c r="CB33" i="1" s="1"/>
  <c r="CW2" i="1"/>
  <c r="CX2" i="1" s="1"/>
  <c r="U32" i="1"/>
  <c r="BQ32" i="1"/>
  <c r="CZ2" i="1" s="1"/>
  <c r="T35" i="1"/>
  <c r="R34" i="1"/>
  <c r="CA62" i="1" l="1"/>
  <c r="CG32" i="1"/>
  <c r="CF32" i="1"/>
  <c r="CO32" i="1"/>
  <c r="CP32" i="1" s="1"/>
  <c r="CI32" i="1"/>
  <c r="CM33" i="1"/>
  <c r="CN33" i="1" s="1"/>
  <c r="CJ33" i="1"/>
  <c r="CE33" i="1"/>
  <c r="CG33" i="1" s="1"/>
  <c r="CH33" i="1"/>
  <c r="BP34" i="1"/>
  <c r="U33" i="1"/>
  <c r="BQ33" i="1"/>
  <c r="Q34" i="1"/>
  <c r="CB34" i="1" s="1"/>
  <c r="S35" i="1"/>
  <c r="T36" i="1"/>
  <c r="R35" i="1"/>
  <c r="CF33" i="1" l="1"/>
  <c r="CI33" i="1"/>
  <c r="CL33" i="1"/>
  <c r="CK33" i="1"/>
  <c r="CO33" i="1"/>
  <c r="CP33" i="1" s="1"/>
  <c r="CM34" i="1"/>
  <c r="CN34" i="1" s="1"/>
  <c r="CJ34" i="1"/>
  <c r="CL34" i="1" s="1"/>
  <c r="CE34" i="1"/>
  <c r="CG34" i="1" s="1"/>
  <c r="CH34" i="1"/>
  <c r="BP35" i="1"/>
  <c r="Q35" i="1"/>
  <c r="CB35" i="1" s="1"/>
  <c r="S36" i="1"/>
  <c r="U34" i="1"/>
  <c r="BQ34" i="1"/>
  <c r="T37" i="1"/>
  <c r="R36" i="1"/>
  <c r="CF34" i="1" l="1"/>
  <c r="CI34" i="1"/>
  <c r="CK34" i="1"/>
  <c r="CO34" i="1"/>
  <c r="CP34" i="1" s="1"/>
  <c r="CM35" i="1"/>
  <c r="CN35" i="1" s="1"/>
  <c r="CJ35" i="1"/>
  <c r="CL35" i="1" s="1"/>
  <c r="CE35" i="1"/>
  <c r="CG35" i="1" s="1"/>
  <c r="CH35" i="1"/>
  <c r="BP36" i="1"/>
  <c r="S37" i="1"/>
  <c r="Q36" i="1"/>
  <c r="CB36" i="1" s="1"/>
  <c r="U35" i="1"/>
  <c r="BQ35" i="1"/>
  <c r="R37" i="1"/>
  <c r="CV60" i="1" s="1"/>
  <c r="T38" i="1"/>
  <c r="CV50" i="1"/>
  <c r="CF35" i="1" l="1"/>
  <c r="CI35" i="1"/>
  <c r="CK35" i="1"/>
  <c r="CO35" i="1"/>
  <c r="CP35" i="1" s="1"/>
  <c r="CM36" i="1"/>
  <c r="CN36" i="1" s="1"/>
  <c r="CJ36" i="1"/>
  <c r="CL36" i="1" s="1"/>
  <c r="CE36" i="1"/>
  <c r="CG36" i="1" s="1"/>
  <c r="CH36" i="1"/>
  <c r="BP37" i="1"/>
  <c r="U36" i="1"/>
  <c r="BQ36" i="1"/>
  <c r="Q37" i="1"/>
  <c r="S38" i="1"/>
  <c r="DB62" i="1"/>
  <c r="R38" i="1"/>
  <c r="T39" i="1"/>
  <c r="DB72" i="1" l="1"/>
  <c r="CB37" i="1"/>
  <c r="CF36" i="1"/>
  <c r="CI36" i="1"/>
  <c r="CK36" i="1"/>
  <c r="CO36" i="1"/>
  <c r="CP36" i="1" s="1"/>
  <c r="CM37" i="1"/>
  <c r="CN37" i="1" s="1"/>
  <c r="CJ37" i="1"/>
  <c r="CL37" i="1" s="1"/>
  <c r="CE37" i="1"/>
  <c r="CG37" i="1" s="1"/>
  <c r="CH37" i="1"/>
  <c r="BP38" i="1"/>
  <c r="Q38" i="1"/>
  <c r="CB38" i="1" s="1"/>
  <c r="S39" i="1"/>
  <c r="U37" i="1"/>
  <c r="BQ37" i="1"/>
  <c r="T40" i="1"/>
  <c r="R39" i="1"/>
  <c r="CF37" i="1" l="1"/>
  <c r="CI37" i="1"/>
  <c r="CK37" i="1"/>
  <c r="CO37" i="1"/>
  <c r="CP37" i="1" s="1"/>
  <c r="CM38" i="1"/>
  <c r="CN38" i="1" s="1"/>
  <c r="CJ38" i="1"/>
  <c r="CL38" i="1" s="1"/>
  <c r="CE38" i="1"/>
  <c r="CG38" i="1" s="1"/>
  <c r="CH38" i="1"/>
  <c r="BP39" i="1"/>
  <c r="U38" i="1"/>
  <c r="BQ38" i="1"/>
  <c r="Q39" i="1"/>
  <c r="CB39" i="1" s="1"/>
  <c r="S40" i="1"/>
  <c r="R40" i="1"/>
  <c r="T41" i="1"/>
  <c r="CF38" i="1" l="1"/>
  <c r="CI38" i="1"/>
  <c r="CK38" i="1"/>
  <c r="CO38" i="1"/>
  <c r="CP38" i="1" s="1"/>
  <c r="CM39" i="1"/>
  <c r="CN39" i="1" s="1"/>
  <c r="CJ39" i="1"/>
  <c r="CL39" i="1" s="1"/>
  <c r="CE39" i="1"/>
  <c r="CG39" i="1" s="1"/>
  <c r="CH39" i="1"/>
  <c r="BP40" i="1"/>
  <c r="U39" i="1"/>
  <c r="BQ39" i="1"/>
  <c r="Q40" i="1"/>
  <c r="CB40" i="1" s="1"/>
  <c r="S41" i="1"/>
  <c r="T42" i="1"/>
  <c r="R41" i="1"/>
  <c r="CF39" i="1" l="1"/>
  <c r="CI39" i="1"/>
  <c r="CK39" i="1"/>
  <c r="DJ3" i="1"/>
  <c r="R42" i="1"/>
  <c r="CV61" i="1" s="1"/>
  <c r="CO39" i="1"/>
  <c r="CP39" i="1" s="1"/>
  <c r="CJ40" i="1"/>
  <c r="CL40" i="1" s="1"/>
  <c r="CM40" i="1"/>
  <c r="CN40" i="1" s="1"/>
  <c r="CE40" i="1"/>
  <c r="CG40" i="1" s="1"/>
  <c r="CH40" i="1"/>
  <c r="BP41" i="1"/>
  <c r="U40" i="1"/>
  <c r="BQ40" i="1"/>
  <c r="Q41" i="1"/>
  <c r="CB41" i="1" s="1"/>
  <c r="S42" i="1"/>
  <c r="T43" i="1"/>
  <c r="CV51" i="1"/>
  <c r="CF40" i="1" l="1"/>
  <c r="CI40" i="1"/>
  <c r="CK40" i="1"/>
  <c r="DI3" i="1"/>
  <c r="CO40" i="1"/>
  <c r="CP40" i="1" s="1"/>
  <c r="CJ41" i="1"/>
  <c r="CL41" i="1" s="1"/>
  <c r="CM41" i="1"/>
  <c r="CN41" i="1" s="1"/>
  <c r="CE41" i="1"/>
  <c r="CG41" i="1" s="1"/>
  <c r="CH41" i="1"/>
  <c r="BP42" i="1"/>
  <c r="DL3" i="1" s="1"/>
  <c r="DM3" i="1" s="1"/>
  <c r="U41" i="1"/>
  <c r="BQ41" i="1"/>
  <c r="DB63" i="1"/>
  <c r="S43" i="1"/>
  <c r="Q42" i="1"/>
  <c r="T44" i="1"/>
  <c r="R43" i="1"/>
  <c r="DB73" i="1" l="1"/>
  <c r="CB42" i="1"/>
  <c r="CF41" i="1"/>
  <c r="CI41" i="1"/>
  <c r="CK41" i="1"/>
  <c r="CO41" i="1"/>
  <c r="CP41" i="1" s="1"/>
  <c r="CM42" i="1"/>
  <c r="CN42" i="1" s="1"/>
  <c r="CJ42" i="1"/>
  <c r="CL42" i="1" s="1"/>
  <c r="CE42" i="1"/>
  <c r="CG42" i="1" s="1"/>
  <c r="CH42" i="1"/>
  <c r="BP43" i="1"/>
  <c r="U42" i="1"/>
  <c r="CW3" i="1"/>
  <c r="BQ42" i="1"/>
  <c r="S44" i="1"/>
  <c r="Q43" i="1"/>
  <c r="CB43" i="1" s="1"/>
  <c r="T45" i="1"/>
  <c r="R44" i="1"/>
  <c r="CF42" i="1" l="1"/>
  <c r="CI42" i="1"/>
  <c r="CK42" i="1"/>
  <c r="CO42" i="1"/>
  <c r="CP42" i="1" s="1"/>
  <c r="CJ43" i="1"/>
  <c r="CL43" i="1" s="1"/>
  <c r="CM43" i="1"/>
  <c r="CN43" i="1" s="1"/>
  <c r="CE43" i="1"/>
  <c r="CG43" i="1" s="1"/>
  <c r="CH43" i="1"/>
  <c r="BP44" i="1"/>
  <c r="U43" i="1"/>
  <c r="BQ43" i="1"/>
  <c r="CZ3" i="1" s="1"/>
  <c r="DA3" i="1" s="1"/>
  <c r="Q44" i="1"/>
  <c r="CB44" i="1" s="1"/>
  <c r="S45" i="1"/>
  <c r="R45" i="1"/>
  <c r="T46" i="1"/>
  <c r="CI43" i="1" l="1"/>
  <c r="CF43" i="1"/>
  <c r="CK43" i="1"/>
  <c r="CO43" i="1"/>
  <c r="CP43" i="1" s="1"/>
  <c r="CJ44" i="1"/>
  <c r="CL44" i="1" s="1"/>
  <c r="CM44" i="1"/>
  <c r="CN44" i="1" s="1"/>
  <c r="CE44" i="1"/>
  <c r="CG44" i="1" s="1"/>
  <c r="CH44" i="1"/>
  <c r="BP45" i="1"/>
  <c r="Q45" i="1"/>
  <c r="CB45" i="1" s="1"/>
  <c r="S46" i="1"/>
  <c r="U44" i="1"/>
  <c r="BQ44" i="1"/>
  <c r="T47" i="1"/>
  <c r="R46" i="1"/>
  <c r="CI44" i="1" l="1"/>
  <c r="CF44" i="1"/>
  <c r="CK44" i="1"/>
  <c r="CO44" i="1"/>
  <c r="CP44" i="1" s="1"/>
  <c r="CM45" i="1"/>
  <c r="CN45" i="1" s="1"/>
  <c r="CJ45" i="1"/>
  <c r="CL45" i="1" s="1"/>
  <c r="CE45" i="1"/>
  <c r="CG45" i="1" s="1"/>
  <c r="CH45" i="1"/>
  <c r="BP46" i="1"/>
  <c r="S47" i="1"/>
  <c r="Q46" i="1"/>
  <c r="CB46" i="1" s="1"/>
  <c r="U45" i="1"/>
  <c r="BQ45" i="1"/>
  <c r="T48" i="1"/>
  <c r="R47" i="1"/>
  <c r="CI45" i="1" l="1"/>
  <c r="CF45" i="1"/>
  <c r="CK45" i="1"/>
  <c r="CO45" i="1"/>
  <c r="CP45" i="1" s="1"/>
  <c r="CM46" i="1"/>
  <c r="CN46" i="1" s="1"/>
  <c r="CJ46" i="1"/>
  <c r="CL46" i="1" s="1"/>
  <c r="CE46" i="1"/>
  <c r="CG46" i="1" s="1"/>
  <c r="CH46" i="1"/>
  <c r="CI46" i="1" s="1"/>
  <c r="BP47" i="1"/>
  <c r="U46" i="1"/>
  <c r="BQ46" i="1"/>
  <c r="S48" i="1"/>
  <c r="Q47" i="1"/>
  <c r="CB47" i="1" s="1"/>
  <c r="T49" i="1"/>
  <c r="R48" i="1"/>
  <c r="CF46" i="1" l="1"/>
  <c r="CK46" i="1"/>
  <c r="CO46" i="1"/>
  <c r="CP46" i="1" s="1"/>
  <c r="CM47" i="1"/>
  <c r="CN47" i="1" s="1"/>
  <c r="CJ47" i="1"/>
  <c r="CL47" i="1" s="1"/>
  <c r="CE47" i="1"/>
  <c r="CG47" i="1" s="1"/>
  <c r="CH47" i="1"/>
  <c r="CI47" i="1" s="1"/>
  <c r="BP48" i="1"/>
  <c r="U47" i="1"/>
  <c r="BQ47" i="1"/>
  <c r="S49" i="1"/>
  <c r="Q48" i="1"/>
  <c r="CB48" i="1" s="1"/>
  <c r="R49" i="1"/>
  <c r="T50" i="1"/>
  <c r="CF47" i="1" l="1"/>
  <c r="CK47" i="1"/>
  <c r="CO47" i="1"/>
  <c r="CP47" i="1" s="1"/>
  <c r="CM48" i="1"/>
  <c r="CN48" i="1" s="1"/>
  <c r="CJ48" i="1"/>
  <c r="CL48" i="1" s="1"/>
  <c r="CE48" i="1"/>
  <c r="CG48" i="1" s="1"/>
  <c r="CH48" i="1"/>
  <c r="CI48" i="1" s="1"/>
  <c r="BP49" i="1"/>
  <c r="U48" i="1"/>
  <c r="BQ48" i="1"/>
  <c r="S50" i="1"/>
  <c r="Q49" i="1"/>
  <c r="CB49" i="1" s="1"/>
  <c r="T51" i="1"/>
  <c r="R50" i="1"/>
  <c r="CF48" i="1" l="1"/>
  <c r="CK48" i="1"/>
  <c r="CO48" i="1"/>
  <c r="CP48" i="1" s="1"/>
  <c r="CM49" i="1"/>
  <c r="CN49" i="1" s="1"/>
  <c r="CJ49" i="1"/>
  <c r="CL49" i="1" s="1"/>
  <c r="CE49" i="1"/>
  <c r="CG49" i="1" s="1"/>
  <c r="CH49" i="1"/>
  <c r="CI49" i="1" s="1"/>
  <c r="BP50" i="1"/>
  <c r="S51" i="1"/>
  <c r="Q50" i="1"/>
  <c r="CB50" i="1" s="1"/>
  <c r="U49" i="1"/>
  <c r="BQ49" i="1"/>
  <c r="T52" i="1"/>
  <c r="R51" i="1"/>
  <c r="CF49" i="1" l="1"/>
  <c r="CK49" i="1"/>
  <c r="CO49" i="1"/>
  <c r="CP49" i="1" s="1"/>
  <c r="CJ50" i="1"/>
  <c r="CL50" i="1" s="1"/>
  <c r="CM50" i="1"/>
  <c r="CN50" i="1" s="1"/>
  <c r="CE50" i="1"/>
  <c r="CG50" i="1" s="1"/>
  <c r="CH50" i="1"/>
  <c r="CI50" i="1" s="1"/>
  <c r="BP51" i="1"/>
  <c r="U50" i="1"/>
  <c r="BQ50" i="1"/>
  <c r="S52" i="1"/>
  <c r="Q51" i="1"/>
  <c r="CB51" i="1" s="1"/>
  <c r="T53" i="1"/>
  <c r="R52" i="1"/>
  <c r="CV62" i="1" s="1"/>
  <c r="CV52" i="1"/>
  <c r="CF50" i="1" l="1"/>
  <c r="CK50" i="1"/>
  <c r="CO50" i="1"/>
  <c r="CP50" i="1" s="1"/>
  <c r="CJ51" i="1"/>
  <c r="CL51" i="1" s="1"/>
  <c r="CM51" i="1"/>
  <c r="CN51" i="1" s="1"/>
  <c r="CE51" i="1"/>
  <c r="CG51" i="1" s="1"/>
  <c r="CH51" i="1"/>
  <c r="CI51" i="1" s="1"/>
  <c r="BP52" i="1"/>
  <c r="U51" i="1"/>
  <c r="BQ51" i="1"/>
  <c r="Q52" i="1"/>
  <c r="S53" i="1"/>
  <c r="DB64" i="1"/>
  <c r="R53" i="1"/>
  <c r="T54" i="1"/>
  <c r="DB74" i="1" l="1"/>
  <c r="CB52" i="1"/>
  <c r="CF51" i="1"/>
  <c r="CK51" i="1"/>
  <c r="CO51" i="1"/>
  <c r="CP51" i="1" s="1"/>
  <c r="CJ52" i="1"/>
  <c r="CL52" i="1" s="1"/>
  <c r="CM52" i="1"/>
  <c r="CN52" i="1" s="1"/>
  <c r="CE52" i="1"/>
  <c r="CG52" i="1" s="1"/>
  <c r="CH52" i="1"/>
  <c r="CI52" i="1" s="1"/>
  <c r="BP53" i="1"/>
  <c r="U52" i="1"/>
  <c r="BQ52" i="1"/>
  <c r="S54" i="1"/>
  <c r="Q53" i="1"/>
  <c r="CB53" i="1" s="1"/>
  <c r="T55" i="1"/>
  <c r="R54" i="1"/>
  <c r="CF52" i="1" l="1"/>
  <c r="CK52" i="1"/>
  <c r="CO52" i="1"/>
  <c r="CP52" i="1" s="1"/>
  <c r="CJ53" i="1"/>
  <c r="CL53" i="1" s="1"/>
  <c r="CM53" i="1"/>
  <c r="CN53" i="1" s="1"/>
  <c r="CE53" i="1"/>
  <c r="CG53" i="1" s="1"/>
  <c r="CH53" i="1"/>
  <c r="CI53" i="1" s="1"/>
  <c r="BP54" i="1"/>
  <c r="S55" i="1"/>
  <c r="Q54" i="1"/>
  <c r="CB54" i="1" s="1"/>
  <c r="U53" i="1"/>
  <c r="BQ53" i="1"/>
  <c r="T56" i="1"/>
  <c r="R55" i="1"/>
  <c r="CF53" i="1" l="1"/>
  <c r="CK53" i="1"/>
  <c r="CO53" i="1"/>
  <c r="CP53" i="1" s="1"/>
  <c r="CJ54" i="1"/>
  <c r="CL54" i="1" s="1"/>
  <c r="CM54" i="1"/>
  <c r="CN54" i="1" s="1"/>
  <c r="CE54" i="1"/>
  <c r="CG54" i="1" s="1"/>
  <c r="CH54" i="1"/>
  <c r="CI54" i="1" s="1"/>
  <c r="BP55" i="1"/>
  <c r="S56" i="1"/>
  <c r="Q55" i="1"/>
  <c r="CB55" i="1" s="1"/>
  <c r="U54" i="1"/>
  <c r="BQ54" i="1"/>
  <c r="T57" i="1"/>
  <c r="R56" i="1"/>
  <c r="CF54" i="1" l="1"/>
  <c r="CK54" i="1"/>
  <c r="CO54" i="1"/>
  <c r="CP54" i="1" s="1"/>
  <c r="CM55" i="1"/>
  <c r="CN55" i="1" s="1"/>
  <c r="CJ55" i="1"/>
  <c r="CL55" i="1" s="1"/>
  <c r="CE55" i="1"/>
  <c r="CG55" i="1" s="1"/>
  <c r="CH55" i="1"/>
  <c r="CI55" i="1" s="1"/>
  <c r="BP56" i="1"/>
  <c r="S57" i="1"/>
  <c r="Q56" i="1"/>
  <c r="CB56" i="1" s="1"/>
  <c r="U55" i="1"/>
  <c r="BQ55" i="1"/>
  <c r="T58" i="1"/>
  <c r="R57" i="1"/>
  <c r="CF55" i="1" l="1"/>
  <c r="CK55" i="1"/>
  <c r="CO55" i="1"/>
  <c r="CP55" i="1" s="1"/>
  <c r="CM56" i="1"/>
  <c r="CN56" i="1" s="1"/>
  <c r="CJ56" i="1"/>
  <c r="CL56" i="1" s="1"/>
  <c r="CE56" i="1"/>
  <c r="CG56" i="1" s="1"/>
  <c r="CH56" i="1"/>
  <c r="CI56" i="1" s="1"/>
  <c r="BP57" i="1"/>
  <c r="S58" i="1"/>
  <c r="Q57" i="1"/>
  <c r="CB57" i="1" s="1"/>
  <c r="U56" i="1"/>
  <c r="BQ56" i="1"/>
  <c r="T59" i="1"/>
  <c r="R58" i="1"/>
  <c r="CF56" i="1" l="1"/>
  <c r="CK56" i="1"/>
  <c r="CO56" i="1"/>
  <c r="CP56" i="1" s="1"/>
  <c r="CM57" i="1"/>
  <c r="CN57" i="1" s="1"/>
  <c r="CJ57" i="1"/>
  <c r="CL57" i="1" s="1"/>
  <c r="CE57" i="1"/>
  <c r="CG57" i="1" s="1"/>
  <c r="CH57" i="1"/>
  <c r="CI57" i="1" s="1"/>
  <c r="BP58" i="1"/>
  <c r="U57" i="1"/>
  <c r="BQ57" i="1"/>
  <c r="S59" i="1"/>
  <c r="Q58" i="1"/>
  <c r="CB58" i="1" s="1"/>
  <c r="T60" i="1"/>
  <c r="R59" i="1"/>
  <c r="CF57" i="1" l="1"/>
  <c r="CK57" i="1"/>
  <c r="CO57" i="1"/>
  <c r="CP57" i="1" s="1"/>
  <c r="CM58" i="1"/>
  <c r="CN58" i="1" s="1"/>
  <c r="CJ58" i="1"/>
  <c r="CL58" i="1" s="1"/>
  <c r="CE58" i="1"/>
  <c r="CG58" i="1" s="1"/>
  <c r="CH58" i="1"/>
  <c r="CI58" i="1" s="1"/>
  <c r="BP59" i="1"/>
  <c r="U58" i="1"/>
  <c r="BQ58" i="1"/>
  <c r="S60" i="1"/>
  <c r="Q59" i="1"/>
  <c r="CB59" i="1" s="1"/>
  <c r="T61" i="1"/>
  <c r="R60" i="1"/>
  <c r="CF58" i="1" l="1"/>
  <c r="CK58" i="1"/>
  <c r="CO58" i="1"/>
  <c r="CP58" i="1" s="1"/>
  <c r="CM59" i="1"/>
  <c r="CN59" i="1" s="1"/>
  <c r="CJ59" i="1"/>
  <c r="CL59" i="1" s="1"/>
  <c r="CE59" i="1"/>
  <c r="CG59" i="1" s="1"/>
  <c r="CH59" i="1"/>
  <c r="CI59" i="1" s="1"/>
  <c r="BP60" i="1"/>
  <c r="S61" i="1"/>
  <c r="Q60" i="1"/>
  <c r="CB60" i="1" s="1"/>
  <c r="U59" i="1"/>
  <c r="BQ59" i="1"/>
  <c r="T62" i="1"/>
  <c r="R61" i="1"/>
  <c r="CF59" i="1" l="1"/>
  <c r="CK59" i="1"/>
  <c r="DJ4" i="1"/>
  <c r="T68" i="1"/>
  <c r="T69" i="1" s="1"/>
  <c r="R62" i="1"/>
  <c r="CO59" i="1"/>
  <c r="CP59" i="1" s="1"/>
  <c r="CM60" i="1"/>
  <c r="CN60" i="1" s="1"/>
  <c r="CJ60" i="1"/>
  <c r="CL60" i="1" s="1"/>
  <c r="CE60" i="1"/>
  <c r="CG60" i="1" s="1"/>
  <c r="CH60" i="1"/>
  <c r="CI60" i="1" s="1"/>
  <c r="BP61" i="1"/>
  <c r="S62" i="1"/>
  <c r="Q61" i="1"/>
  <c r="CB61" i="1" s="1"/>
  <c r="U60" i="1"/>
  <c r="BQ60" i="1"/>
  <c r="CV53" i="1"/>
  <c r="R68" i="1" l="1"/>
  <c r="CV63" i="1"/>
  <c r="CF60" i="1"/>
  <c r="CK60" i="1"/>
  <c r="CC68" i="1"/>
  <c r="CC69" i="1" s="1"/>
  <c r="DI4" i="1"/>
  <c r="CO60" i="1"/>
  <c r="CP60" i="1" s="1"/>
  <c r="CM61" i="1"/>
  <c r="CN61" i="1" s="1"/>
  <c r="CJ61" i="1"/>
  <c r="CL61" i="1" s="1"/>
  <c r="CM62" i="1"/>
  <c r="CJ62" i="1"/>
  <c r="CE61" i="1"/>
  <c r="CG61" i="1" s="1"/>
  <c r="CH61" i="1"/>
  <c r="CI61" i="1" s="1"/>
  <c r="U61" i="1"/>
  <c r="BQ61" i="1"/>
  <c r="S68" i="1"/>
  <c r="S69" i="1" s="1"/>
  <c r="DB65" i="1"/>
  <c r="Q62" i="1"/>
  <c r="R69" i="1"/>
  <c r="BP62" i="1"/>
  <c r="DB75" i="1" l="1"/>
  <c r="CB62" i="1"/>
  <c r="CB68" i="1" s="1"/>
  <c r="CB69" i="1" s="1"/>
  <c r="CF61" i="1"/>
  <c r="CN62" i="1"/>
  <c r="CN68" i="1" s="1"/>
  <c r="CN69" i="1" s="1"/>
  <c r="CK61" i="1"/>
  <c r="CK62" i="1" s="1"/>
  <c r="CK68" i="1" s="1"/>
  <c r="CK69" i="1" s="1"/>
  <c r="CM68" i="1"/>
  <c r="CM69" i="1" s="1"/>
  <c r="BP68" i="1"/>
  <c r="BP69" i="1" s="1"/>
  <c r="DL4" i="1"/>
  <c r="DM4" i="1" s="1"/>
  <c r="CH62" i="1"/>
  <c r="CH68" i="1" s="1"/>
  <c r="CH69" i="1" s="1"/>
  <c r="CA68" i="1"/>
  <c r="CA69" i="1" s="1"/>
  <c r="CJ68" i="1"/>
  <c r="CJ69" i="1" s="1"/>
  <c r="CL62" i="1"/>
  <c r="CL68" i="1" s="1"/>
  <c r="CL69" i="1" s="1"/>
  <c r="CO61" i="1"/>
  <c r="CP61" i="1" s="1"/>
  <c r="CE62" i="1"/>
  <c r="CW4" i="1"/>
  <c r="CX4" i="1" s="1"/>
  <c r="U62" i="1"/>
  <c r="U68" i="1" s="1"/>
  <c r="U69" i="1" s="1"/>
  <c r="Q68" i="1"/>
  <c r="Q69" i="1" s="1"/>
  <c r="BQ62" i="1"/>
  <c r="CF62" i="1" l="1"/>
  <c r="CF68" i="1" s="1"/>
  <c r="CF69" i="1" s="1"/>
  <c r="CI62" i="1"/>
  <c r="CI68" i="1" s="1"/>
  <c r="CI69" i="1" s="1"/>
  <c r="CO62" i="1"/>
  <c r="CO68" i="1" s="1"/>
  <c r="CO69" i="1" s="1"/>
  <c r="CG62" i="1"/>
  <c r="CG68" i="1" s="1"/>
  <c r="CG69" i="1" s="1"/>
  <c r="CE68" i="1"/>
  <c r="CE69" i="1" s="1"/>
  <c r="CZ4" i="1"/>
  <c r="DA4" i="1" s="1"/>
  <c r="BQ68" i="1"/>
  <c r="BQ69" i="1" s="1"/>
  <c r="CP62" i="1" l="1"/>
  <c r="CP68" i="1" s="1"/>
  <c r="CP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Place</author>
  </authors>
  <commentList>
    <comment ref="B1" authorId="0" shapeId="0" xr:uid="{FF66D0AC-35FD-4FD4-A7CB-D8EF0FA35DE7}">
      <text>
        <r>
          <rPr>
            <b/>
            <sz val="9"/>
            <color indexed="81"/>
            <rFont val="Tahoma"/>
            <family val="2"/>
          </rPr>
          <t>Sara Place:</t>
        </r>
        <r>
          <rPr>
            <sz val="9"/>
            <color indexed="81"/>
            <rFont val="Tahoma"/>
            <family val="2"/>
          </rPr>
          <t xml:space="preserve">
Jan 1st inventory for USA from USDA-NASS Quickstats</t>
        </r>
      </text>
    </comment>
    <comment ref="Q1" authorId="0" shapeId="0" xr:uid="{4772F9E1-9631-4D24-BC40-E5F670AA4C6B}">
      <text>
        <r>
          <rPr>
            <b/>
            <sz val="9"/>
            <color indexed="81"/>
            <rFont val="Tahoma"/>
            <family val="2"/>
          </rPr>
          <t>Sara Place:</t>
        </r>
        <r>
          <rPr>
            <sz val="9"/>
            <color indexed="81"/>
            <rFont val="Tahoma"/>
            <family val="2"/>
          </rPr>
          <t xml:space="preserve">
USDA NASS data on total US beef production from Quickstats
</t>
        </r>
      </text>
    </comment>
    <comment ref="V1" authorId="0" shapeId="0" xr:uid="{7689A6BC-7AE4-449D-88B0-E5EC6E56A75F}">
      <text>
        <r>
          <rPr>
            <b/>
            <sz val="9"/>
            <color indexed="81"/>
            <rFont val="Tahoma"/>
            <family val="2"/>
          </rPr>
          <t>Sara Place:</t>
        </r>
        <r>
          <rPr>
            <sz val="9"/>
            <color indexed="81"/>
            <rFont val="Tahoma"/>
            <family val="2"/>
          </rPr>
          <t xml:space="preserve">
Table A-178</t>
        </r>
      </text>
    </comment>
    <comment ref="AP1" authorId="0" shapeId="0" xr:uid="{E8003CFD-BE21-4996-AD69-011965E53DC7}">
      <text>
        <r>
          <rPr>
            <b/>
            <sz val="9"/>
            <color indexed="81"/>
            <rFont val="Tahoma"/>
            <family val="2"/>
          </rPr>
          <t>Sara Place:</t>
        </r>
        <r>
          <rPr>
            <sz val="9"/>
            <color indexed="81"/>
            <rFont val="Tahoma"/>
            <family val="2"/>
          </rPr>
          <t xml:space="preserve">
Table A-195</t>
        </r>
      </text>
    </comment>
    <comment ref="BD1" authorId="0" shapeId="0" xr:uid="{F609825F-A273-416E-9E21-8A0FC54D3A1D}">
      <text>
        <r>
          <rPr>
            <b/>
            <sz val="9"/>
            <color indexed="81"/>
            <rFont val="Tahoma"/>
            <family val="2"/>
          </rPr>
          <t>Sara Place:</t>
        </r>
        <r>
          <rPr>
            <sz val="9"/>
            <color indexed="81"/>
            <rFont val="Tahoma"/>
            <family val="2"/>
          </rPr>
          <t xml:space="preserve">
Table A-196</t>
        </r>
      </text>
    </comment>
    <comment ref="BN1" authorId="0" shapeId="0" xr:uid="{ABEA6501-B51F-4700-96A5-720DA2B6A89A}">
      <text>
        <r>
          <rPr>
            <b/>
            <sz val="9"/>
            <color indexed="81"/>
            <rFont val="Tahoma"/>
            <family val="2"/>
          </rPr>
          <t>Sara Place:</t>
        </r>
        <r>
          <rPr>
            <sz val="9"/>
            <color indexed="81"/>
            <rFont val="Tahoma"/>
            <family val="2"/>
          </rPr>
          <t xml:space="preserve">
GWP100 = can be changed to match AR version  (e.g., AR2 vs. AR5)
</t>
        </r>
      </text>
    </comment>
    <comment ref="BR1" authorId="0" shapeId="0" xr:uid="{4A537950-FEB5-497A-91E7-A6FEEC405F30}">
      <text>
        <r>
          <rPr>
            <b/>
            <sz val="9"/>
            <color indexed="81"/>
            <rFont val="Tahoma"/>
            <family val="2"/>
          </rPr>
          <t>Sara Place:</t>
        </r>
        <r>
          <rPr>
            <sz val="9"/>
            <color indexed="81"/>
            <rFont val="Tahoma"/>
            <family val="2"/>
          </rPr>
          <t xml:space="preserve">
Updated equation from Smith et al., 2021. Using generic SLCP values to add flexibility in changing what GWP100 is used</t>
        </r>
      </text>
    </comment>
    <comment ref="BT1" authorId="0" shapeId="0" xr:uid="{B30AD014-1D0D-4A66-BF26-588EC3E34CA9}">
      <text>
        <r>
          <rPr>
            <b/>
            <sz val="9"/>
            <color indexed="81"/>
            <rFont val="Tahoma"/>
            <family val="2"/>
          </rPr>
          <t>Sara Place:</t>
        </r>
        <r>
          <rPr>
            <sz val="9"/>
            <color indexed="81"/>
            <rFont val="Tahoma"/>
            <family val="2"/>
          </rPr>
          <t xml:space="preserve">
GWP100 can be changed.</t>
        </r>
      </text>
    </comment>
    <comment ref="BX1" authorId="0" shapeId="0" xr:uid="{64993DC5-658D-4187-B94A-31864EA70CF8}">
      <text>
        <r>
          <rPr>
            <b/>
            <sz val="9"/>
            <color indexed="81"/>
            <rFont val="Tahoma"/>
            <family val="2"/>
          </rPr>
          <t>Sara Place:</t>
        </r>
        <r>
          <rPr>
            <sz val="9"/>
            <color indexed="81"/>
            <rFont val="Tahoma"/>
            <family val="2"/>
          </rPr>
          <t xml:space="preserve">
GWP100 can be changed</t>
        </r>
      </text>
    </comment>
    <comment ref="CA1" authorId="0" shapeId="0" xr:uid="{70CBDBB9-20E1-4BC2-A756-EB374BA49E70}">
      <text>
        <r>
          <rPr>
            <b/>
            <sz val="9"/>
            <color indexed="81"/>
            <rFont val="Tahoma"/>
            <family val="2"/>
          </rPr>
          <t>Sara Place:</t>
        </r>
        <r>
          <rPr>
            <sz val="9"/>
            <color indexed="81"/>
            <rFont val="Tahoma"/>
            <family val="2"/>
          </rPr>
          <t xml:space="preserve">
Estimate based on https://www.sciencedirect.com/science/article/pii/S0308521X18305675</t>
        </r>
      </text>
    </comment>
    <comment ref="CC1" authorId="0" shapeId="0" xr:uid="{ECD47276-8071-4999-859B-6C6AE859C74C}">
      <text>
        <r>
          <rPr>
            <b/>
            <sz val="9"/>
            <color indexed="81"/>
            <rFont val="Tahoma"/>
            <family val="2"/>
          </rPr>
          <t>Sara Place:</t>
        </r>
        <r>
          <rPr>
            <sz val="9"/>
            <color indexed="81"/>
            <rFont val="Tahoma"/>
            <family val="2"/>
          </rPr>
          <t xml:space="preserve">
Estimated from https://www.sciencedirect.com/science/article/pii/S0959652621023714 and https://www.sciencedirect.com/science/article/pii/S0958694612002051 and https://www.sciencedirect.com/science/article/pii/S0958694612001975</t>
        </r>
      </text>
    </comment>
    <comment ref="CS4" authorId="0" shapeId="0" xr:uid="{12A02FAA-5839-4E79-89BB-AA744949AE32}">
      <text>
        <r>
          <rPr>
            <b/>
            <sz val="9"/>
            <color indexed="81"/>
            <rFont val="Tahoma"/>
            <charset val="1"/>
          </rPr>
          <t>Sara Place:</t>
        </r>
        <r>
          <rPr>
            <sz val="9"/>
            <color indexed="81"/>
            <rFont val="Tahoma"/>
            <charset val="1"/>
          </rPr>
          <t xml:space="preserve">
Blue text can be changed
</t>
        </r>
      </text>
    </comment>
    <comment ref="CR5" authorId="0" shapeId="0" xr:uid="{86DD0966-5043-4D1C-A778-FD6E494E07AC}">
      <text>
        <r>
          <rPr>
            <b/>
            <sz val="9"/>
            <color indexed="81"/>
            <rFont val="Tahoma"/>
            <charset val="1"/>
          </rPr>
          <t>Sara Place:</t>
        </r>
        <r>
          <rPr>
            <sz val="9"/>
            <color indexed="81"/>
            <rFont val="Tahoma"/>
            <charset val="1"/>
          </rPr>
          <t xml:space="preserve">
Estimate of indirect GHG emissions (Scope 2 and 3) for beef cattle production based on https://www.sciencedirect.com/science/article/pii/S0308521X18305675</t>
        </r>
      </text>
    </comment>
    <comment ref="CR6" authorId="0" shapeId="0" xr:uid="{8E66C5F5-EEB5-43A0-A316-2B18D4D66733}">
      <text>
        <r>
          <rPr>
            <b/>
            <sz val="9"/>
            <color indexed="81"/>
            <rFont val="Tahoma"/>
            <charset val="1"/>
          </rPr>
          <t>Sara Place:</t>
        </r>
        <r>
          <rPr>
            <sz val="9"/>
            <color indexed="81"/>
            <rFont val="Tahoma"/>
            <charset val="1"/>
          </rPr>
          <t xml:space="preserve">
Estimate of indirect GHG emissions from dairy cattle production derived from https://www.sciencedirect.com/science/article/pii/S0959652621023714. CO2e from CO2 and N2O.</t>
        </r>
      </text>
    </comment>
    <comment ref="CR7" authorId="0" shapeId="0" xr:uid="{49D39B68-5938-46AF-AC09-913BC37CA3E0}">
      <text>
        <r>
          <rPr>
            <b/>
            <sz val="9"/>
            <color indexed="81"/>
            <rFont val="Tahoma"/>
            <family val="2"/>
          </rPr>
          <t>Sara Place:</t>
        </r>
        <r>
          <rPr>
            <sz val="9"/>
            <color indexed="81"/>
            <rFont val="Tahoma"/>
            <family val="2"/>
          </rPr>
          <t xml:space="preserve">
Default set to IPCC AR5 values with climate carbon feedbacks (Table 8.7) in https://www.ipcc.ch/site/assets/uploads/2018/02/WG1AR5_Chapter08_FINAL.pdf</t>
        </r>
      </text>
    </comment>
    <comment ref="CU12" authorId="0" shapeId="0" xr:uid="{F4AA65F4-8D6F-42B5-A17A-7490EA5F5FEC}">
      <text>
        <r>
          <rPr>
            <b/>
            <sz val="9"/>
            <color indexed="81"/>
            <rFont val="Tahoma"/>
            <charset val="1"/>
          </rPr>
          <t>Sara Place:</t>
        </r>
        <r>
          <rPr>
            <sz val="9"/>
            <color indexed="81"/>
            <rFont val="Tahoma"/>
            <charset val="1"/>
          </rPr>
          <t xml:space="preserve">
Blue text can be changed</t>
        </r>
      </text>
    </comment>
    <comment ref="DA12" authorId="0" shapeId="0" xr:uid="{199D55B6-5891-423D-A7A7-539A12709B44}">
      <text>
        <r>
          <rPr>
            <b/>
            <sz val="9"/>
            <color indexed="81"/>
            <rFont val="Tahoma"/>
            <charset val="1"/>
          </rPr>
          <t>Sara Place:</t>
        </r>
        <r>
          <rPr>
            <sz val="9"/>
            <color indexed="81"/>
            <rFont val="Tahoma"/>
            <charset val="1"/>
          </rPr>
          <t xml:space="preserve">
Blue text can be changed.</t>
        </r>
      </text>
    </comment>
    <comment ref="CC23" authorId="0" shapeId="0" xr:uid="{FB4252CD-EEA6-451B-9D85-5E936204EE6D}">
      <text>
        <r>
          <rPr>
            <b/>
            <sz val="9"/>
            <color indexed="81"/>
            <rFont val="Tahoma"/>
            <family val="2"/>
          </rPr>
          <t>Sara Place:</t>
        </r>
        <r>
          <rPr>
            <sz val="9"/>
            <color indexed="81"/>
            <rFont val="Tahoma"/>
            <family val="2"/>
          </rPr>
          <t xml:space="preserve">
Changed to flat amount, then adjusted. 7/8/2021</t>
        </r>
      </text>
    </comment>
    <comment ref="V31" authorId="0" shapeId="0" xr:uid="{AD3169B3-163D-4DAB-9EFC-5DFE3564EE6B}">
      <text>
        <r>
          <rPr>
            <b/>
            <sz val="9"/>
            <color indexed="81"/>
            <rFont val="Tahoma"/>
            <family val="2"/>
          </rPr>
          <t>Sara Place:</t>
        </r>
        <r>
          <rPr>
            <sz val="9"/>
            <color indexed="81"/>
            <rFont val="Tahoma"/>
            <family val="2"/>
          </rPr>
          <t xml:space="preserve">
2019 data from draft EPA report. https://www.epa.gov/sites/production/files/2021-02/documents/us-ghg-inventory-2021-annexes.pdf</t>
        </r>
      </text>
    </comment>
    <comment ref="CR55" authorId="0" shapeId="0" xr:uid="{AC8E173E-35D6-441B-B831-D69F86FD7E7C}">
      <text>
        <r>
          <rPr>
            <b/>
            <sz val="9"/>
            <color indexed="81"/>
            <rFont val="Tahoma"/>
            <family val="2"/>
          </rPr>
          <t>Sara Place:</t>
        </r>
        <r>
          <rPr>
            <sz val="9"/>
            <color indexed="81"/>
            <rFont val="Tahoma"/>
            <family val="2"/>
          </rPr>
          <t xml:space="preserve">
2022 is start year for % change
</t>
        </r>
      </text>
    </comment>
    <comment ref="CX67" authorId="0" shapeId="0" xr:uid="{7DF42258-83DD-4F83-98FF-01EFDAF914DC}">
      <text>
        <r>
          <rPr>
            <b/>
            <sz val="9"/>
            <color indexed="81"/>
            <rFont val="Tahoma"/>
            <family val="2"/>
          </rPr>
          <t>Sara Place:</t>
        </r>
        <r>
          <rPr>
            <sz val="9"/>
            <color indexed="81"/>
            <rFont val="Tahoma"/>
            <family val="2"/>
          </rPr>
          <t xml:space="preserve">
2022 is start year for % change
</t>
        </r>
      </text>
    </comment>
  </commentList>
</comments>
</file>

<file path=xl/sharedStrings.xml><?xml version="1.0" encoding="utf-8"?>
<sst xmlns="http://schemas.openxmlformats.org/spreadsheetml/2006/main" count="541" uniqueCount="163">
  <si>
    <t>Year</t>
  </si>
  <si>
    <t>CATTLE, INCL CALVES - INVENTORY</t>
  </si>
  <si>
    <t>CATTLE, COWS, MILK - INVENTORY</t>
  </si>
  <si>
    <t>CATTLE, HEIFERS, GE 500 LBS, MILK REPLACEMENT - INVENTORY</t>
  </si>
  <si>
    <t>CATTLE, COWS, BEEF - INVENTORY</t>
  </si>
  <si>
    <t>CATTLE, HEIFERS, GE 500 LBS, BEEF REPLACEMENT - INVENTORY</t>
  </si>
  <si>
    <t>CATTLE, HEIFERS, GE 500 LBS, (EXCL REPLACEMENT) - INVENTORY</t>
  </si>
  <si>
    <t>CATTLE, STEERS, GE 500 LBS - INVENTORY</t>
  </si>
  <si>
    <t>CATTLE, ON FEED - INVENTORY</t>
  </si>
  <si>
    <t>CATTLE, BULLS, GE 500 LBS - INVENTORY</t>
  </si>
  <si>
    <t>CATTLE, CALVES - INVENTORY</t>
  </si>
  <si>
    <t>QC check on inventory</t>
  </si>
  <si>
    <t>Stocker cattle GE 500 lbs outside feedlots</t>
  </si>
  <si>
    <t>US annual beef production, lbs.</t>
  </si>
  <si>
    <t>MILK - PRODUCTION, MEASURED IN LB</t>
  </si>
  <si>
    <t>Milk production per cow, lbs/dairy cow</t>
  </si>
  <si>
    <t>Beef production per live animal, lbs./total cattle</t>
  </si>
  <si>
    <t>Beef production per non-dairy cattle (excl. dairy cows &amp; repl. Heifers)</t>
  </si>
  <si>
    <t>Bulls</t>
  </si>
  <si>
    <t>Dairy cattle enteric fermentation methane, kt</t>
  </si>
  <si>
    <t>Dairy Calves (4–6 months) enteric fermentation methane, kt</t>
  </si>
  <si>
    <t>Dairy Cows enteric fermentation methane, kt</t>
  </si>
  <si>
    <t>Dairy Replacements 7–11 months enteric fermentation methane, kt</t>
  </si>
  <si>
    <t>Dairy Replacements 12–23 months enteric fermentation, kt</t>
  </si>
  <si>
    <t>Beef cattle enteric fermentation methane, kt</t>
  </si>
  <si>
    <t>Beef Calves (4–6 months) enteric fermentation methane, kt</t>
  </si>
  <si>
    <t>Beef Bulls enteric fermentation methane, kt</t>
  </si>
  <si>
    <t>Beef Cows enteric fermentation methane, kt</t>
  </si>
  <si>
    <t>Beef Replacements 7–11 months enteric fermentation methane, kt</t>
  </si>
  <si>
    <t>Beef Replacements 12–23 months enteric fermentation methane, kt</t>
  </si>
  <si>
    <t>Beef Steer Stockers enteric fermentation methane, kt</t>
  </si>
  <si>
    <t>Beef Heifer Stockers enteric fermentation methane, kt</t>
  </si>
  <si>
    <t>Beef Feedlot Cattle enteric fermentation methane, kt</t>
  </si>
  <si>
    <t>Total US cattle enteric fermentation methane, kt</t>
  </si>
  <si>
    <t>1990 vs 2018</t>
  </si>
  <si>
    <t>Cattle excl. dairy cows &amp; heifers</t>
  </si>
  <si>
    <t>Dairy Cattle managed manure methane, kt</t>
  </si>
  <si>
    <t>Dairy Cows managed manure methane, kt</t>
  </si>
  <si>
    <t>Dairy Heifer managed manure methane, kt</t>
  </si>
  <si>
    <t>Dairy Calves managed manure methane, kt</t>
  </si>
  <si>
    <t>Beef Cattle managed manure methane, kt</t>
  </si>
  <si>
    <t>Feedlot Steers managed manure methane, kt</t>
  </si>
  <si>
    <t>Feedlot Heifers managed manure methane, kt</t>
  </si>
  <si>
    <t>NOF Bulls managed manure methane, kt</t>
  </si>
  <si>
    <t>Beef Calves managed manure methane, kt</t>
  </si>
  <si>
    <t>NOF Heifers managed manure methane, kt</t>
  </si>
  <si>
    <t>NOF Steers managed manure methane, kt</t>
  </si>
  <si>
    <t>NOF Cows managed manure methane, kt</t>
  </si>
  <si>
    <t>NA</t>
  </si>
  <si>
    <t>Dairy Cattle managed manure N2O, kt</t>
  </si>
  <si>
    <t xml:space="preserve">  Dairy Cows managed manure N2O, kt</t>
  </si>
  <si>
    <t xml:space="preserve">  Dairy Heifer managed manure N2O, kt</t>
  </si>
  <si>
    <t xml:space="preserve">  Dairy Calves managed manure N2O, kt</t>
  </si>
  <si>
    <t>Beef Cattle managed manure N2O, kt</t>
  </si>
  <si>
    <t xml:space="preserve">  Feedlot Steers managed manure N2O, kt</t>
  </si>
  <si>
    <t xml:space="preserve">  Feedlot Heifers managed manure N2O, kt</t>
  </si>
  <si>
    <t>Total dairy cattle methane emissions, kt</t>
  </si>
  <si>
    <t>Total beef cattle methane emissions, kt</t>
  </si>
  <si>
    <t>Total direct dairy cattle GHG emissions, MMT CO2e</t>
  </si>
  <si>
    <t>Total direct beef cattle GHG emissions, MMT CO2e</t>
  </si>
  <si>
    <t>Dairy GHG emission intensity, kg CO2e/kg milk</t>
  </si>
  <si>
    <t>Inputs</t>
  </si>
  <si>
    <t>GWP100 for CH4</t>
  </si>
  <si>
    <t>GWP100 for N2O</t>
  </si>
  <si>
    <t>CO2we beef cattle enteric fermentation, MMT</t>
  </si>
  <si>
    <t>CO2we dairy cattle enteric fermentation, MMT</t>
  </si>
  <si>
    <t>CO2we beef cattle managed manure, MMT</t>
  </si>
  <si>
    <t>Beef direct CO2we, MMT</t>
  </si>
  <si>
    <t>Dairy direct CO2we, MMT</t>
  </si>
  <si>
    <t>Beef and dairy direct CO2we, MMT</t>
  </si>
  <si>
    <t>lbs./kg</t>
  </si>
  <si>
    <t>Beef GHG emission intensity, kg CO2e/kg beef CW</t>
  </si>
  <si>
    <t>Animal type</t>
  </si>
  <si>
    <t>Time period</t>
  </si>
  <si>
    <t>2020-2025</t>
  </si>
  <si>
    <t>Dairy calves (4-6 months)</t>
  </si>
  <si>
    <t>Emissions source</t>
  </si>
  <si>
    <t>Enteric methane</t>
  </si>
  <si>
    <t>Dairy replacement heifers (7 month +)</t>
  </si>
  <si>
    <t>Dairy cows</t>
  </si>
  <si>
    <t>Manure methane</t>
  </si>
  <si>
    <t>Manure nitrous oxide</t>
  </si>
  <si>
    <t>2026-2030</t>
  </si>
  <si>
    <t>2031-2040</t>
  </si>
  <si>
    <t>2041-2050</t>
  </si>
  <si>
    <t>Milk per cow/yr</t>
  </si>
  <si>
    <t>Dairy cattle (all types) head</t>
  </si>
  <si>
    <t>Time period absolute change</t>
  </si>
  <si>
    <t>Goal for %/yr change</t>
  </si>
  <si>
    <t>1990 to 2019 annual % change</t>
  </si>
  <si>
    <t>2020 vs 2050</t>
  </si>
  <si>
    <t>Scenario inputs - Dairy</t>
  </si>
  <si>
    <t>na</t>
  </si>
  <si>
    <t>Dairy cow enteric methane, kg/hd/d</t>
  </si>
  <si>
    <t>Scenario inputs - Beef</t>
  </si>
  <si>
    <t>Beef cows</t>
  </si>
  <si>
    <t>Beef replacement heifers</t>
  </si>
  <si>
    <t>Beef stockers</t>
  </si>
  <si>
    <t>Beef feedlot cattle</t>
  </si>
  <si>
    <t>Beef calves</t>
  </si>
  <si>
    <t>Beef stockers/repl. Heifers</t>
  </si>
  <si>
    <t>Beef/live animal (incl. dairy)</t>
  </si>
  <si>
    <t>Non dairy cattle (excl. dairy cows &amp; heifers)</t>
  </si>
  <si>
    <t>Goal for lbs./yr change</t>
  </si>
  <si>
    <t>Number of cattle, Jan 1st</t>
  </si>
  <si>
    <t>Beef Production, lbs</t>
  </si>
  <si>
    <t>Beef per live animal, lbs</t>
  </si>
  <si>
    <t>Beef direct CO2e, MMT</t>
  </si>
  <si>
    <t>Beef direct CO2e/kg beef</t>
  </si>
  <si>
    <t>% reduction in beef direct CO2e/kg beef from 2020</t>
  </si>
  <si>
    <t>Beef GHG emissions/hd (CO2e from beef cattle only, but all cattle), kg/yr</t>
  </si>
  <si>
    <t>Non-dairy cattle, Jan 1st (excl. dairy cows and repl. Heifers)</t>
  </si>
  <si>
    <t>Beef GHG emission/hd (excl. dairy), kg/yr</t>
  </si>
  <si>
    <t>Beef cow enteric methane, kg/hd/d</t>
  </si>
  <si>
    <t>Beef cows as % non-dairy cattle</t>
  </si>
  <si>
    <t>COF as % of non-dairy cattle</t>
  </si>
  <si>
    <t>Feedlot cattle enteric methane, kg/hd/d</t>
  </si>
  <si>
    <t>Beef cattle manure nitrous oxide, MMT CO2we</t>
  </si>
  <si>
    <t>Dairy cattle manure nitrous oxide, MMT CO2we</t>
  </si>
  <si>
    <t>Estimated non-direct GHG emissions associated with US dairy cattle production, MMT CO2e</t>
  </si>
  <si>
    <t>Estimated non-direct GHG emissions associated with US beef cattle production, MMT CO2e</t>
  </si>
  <si>
    <t>Feed, land, upstream footprint for beef, kg CO2e/kg CW</t>
  </si>
  <si>
    <t>Feed, land, upstream footprint for dairy, kg CO2e/kg milk</t>
  </si>
  <si>
    <t>Total beef cattle production CO2e emissions, MMT</t>
  </si>
  <si>
    <t>Total beef cattle production CO2we emissions, MMT</t>
  </si>
  <si>
    <t>Total dairy cattle production CO2e, MMT</t>
  </si>
  <si>
    <t>Total dairy cattle production CO2we emissions, MMT</t>
  </si>
  <si>
    <t>Feed, land, upstream footprint</t>
  </si>
  <si>
    <t>Total US cattle production CO2we, MMT</t>
  </si>
  <si>
    <t>Milk cradle-to-farm gate footprint, kg CO2e/kg milk</t>
  </si>
  <si>
    <t>Beef cradle-to-farm gate footprint, kg CO2e/kg CW</t>
  </si>
  <si>
    <t>Dairy cattle managed manure N2O, CO2e MMT</t>
  </si>
  <si>
    <t>Beef cattle managed manure CH4, CO2e MMT</t>
  </si>
  <si>
    <t>Dairy cattle managed manure CH4, CO2e MMT</t>
  </si>
  <si>
    <t>Beef cattle enteric CH4, CO2e</t>
  </si>
  <si>
    <t>Dairy cattle enteric CH4, CO2e MMT</t>
  </si>
  <si>
    <t>CO2we dairy cattle managed manure methane, MMT</t>
  </si>
  <si>
    <t>Milk Production, lbs</t>
  </si>
  <si>
    <t>Milk production per cow, lbs.</t>
  </si>
  <si>
    <t>Dairy direct CO2e, MMT</t>
  </si>
  <si>
    <t>Dairy direct kg CO2e/kg milk</t>
  </si>
  <si>
    <t>% reduction in dairy direct CO2e/kg milk from 2020</t>
  </si>
  <si>
    <t xml:space="preserve">Dairy cattle (cows + GE500 repl. Heifers), Jan 1st </t>
  </si>
  <si>
    <t>Cummulative cattle production emissions, MMT CO2we</t>
  </si>
  <si>
    <t>Cummulative dairy cattle produciton CO2we emission, MMT</t>
  </si>
  <si>
    <t>Cummulative dairy cattle produciton CO2e emissions, MMT</t>
  </si>
  <si>
    <t>Cummulative beef cattle production CO2we emission, MMT</t>
  </si>
  <si>
    <t>Cumulative beef cattle production CO2e emissions, MMT</t>
  </si>
  <si>
    <t>Mean footprint in time period</t>
  </si>
  <si>
    <t>Dairy indirect CO2e emissions intensity</t>
  </si>
  <si>
    <t>Beef indirect CO2e emissions intensity</t>
  </si>
  <si>
    <t>2020 to 2050 % annual change</t>
  </si>
  <si>
    <t>Excerpt from Smith et al., 2021</t>
  </si>
  <si>
    <t>Further improvement of warming-equivalent emissions calculation | npj Climate and Atmospheric Science (nature.com)</t>
  </si>
  <si>
    <t>References:</t>
  </si>
  <si>
    <t>Environmental assessment of United States dairy farms - ScienceDirect</t>
  </si>
  <si>
    <t>Environmental footprints of beef cattle production in the United States - ScienceDirect</t>
  </si>
  <si>
    <t>USDA/NASS QuickStats Ad-hoc Query Tool</t>
  </si>
  <si>
    <t>Inventory of U.S. Greenhouse Gas Emissions and Sinks: 1990-2019 | US EPA</t>
  </si>
  <si>
    <r>
      <t>This spreadsheet can be used to examine the impacts of different GHG emissions trends, cattle numbers, and production within the US beef and dairy cattle industries on annual and cummulative GHG emissions expressed as carbon dioxide equivalents and carbon dioxide warming equivalents. The user can change input cells in</t>
    </r>
    <r>
      <rPr>
        <b/>
        <sz val="11"/>
        <color rgb="FF0000FF"/>
        <rFont val="Calibri"/>
        <family val="2"/>
        <scheme val="minor"/>
      </rPr>
      <t xml:space="preserve"> blue text</t>
    </r>
    <r>
      <rPr>
        <sz val="11"/>
        <color theme="1"/>
        <rFont val="Calibri"/>
        <family val="2"/>
        <scheme val="minor"/>
      </rPr>
      <t xml:space="preserve"> to alter parameters. </t>
    </r>
  </si>
  <si>
    <t xml:space="preserve">Sources of emissions and production data are listed below. </t>
  </si>
  <si>
    <t>WG1AR5_Chapter08_FINAL.pdf (ipcc.ch)</t>
  </si>
  <si>
    <t>Date complete: 8/3/2021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</si>
</sst>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
    <numFmt numFmtId="166" formatCode="0.0%"/>
    <numFmt numFmtId="167" formatCode="0.000%"/>
    <numFmt numFmtId="168" formatCode="0.0"/>
    <numFmt numFmtId="169" formatCode="#,##0.0"/>
    <numFmt numFmtId="170" formatCode="0.00000"/>
  </numFmts>
  <fonts count="12"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5"/>
      <color theme="3"/>
      <name val="Calibri"/>
      <family val="2"/>
      <scheme val="minor"/>
    </font>
    <font>
      <b/>
      <sz val="11"/>
      <color theme="1"/>
      <name val="Calibri"/>
      <family val="2"/>
      <scheme val="minor"/>
    </font>
    <font>
      <b/>
      <sz val="11"/>
      <color rgb="FF0000FF"/>
      <name val="Calibri"/>
      <family val="2"/>
      <scheme val="minor"/>
    </font>
    <font>
      <sz val="8"/>
      <name val="Calibri"/>
      <family val="2"/>
      <scheme val="minor"/>
    </font>
    <font>
      <sz val="11"/>
      <name val="Calibri"/>
      <family val="2"/>
      <scheme val="minor"/>
    </font>
    <font>
      <sz val="9"/>
      <color indexed="81"/>
      <name val="Tahoma"/>
      <charset val="1"/>
    </font>
    <font>
      <b/>
      <sz val="9"/>
      <color indexed="81"/>
      <name val="Tahoma"/>
      <charset val="1"/>
    </font>
    <font>
      <u/>
      <sz val="11"/>
      <color theme="10"/>
      <name val="Calibri"/>
      <family val="2"/>
      <scheme val="minor"/>
    </font>
  </fonts>
  <fills count="9">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6"/>
        <bgColor indexed="64"/>
      </patternFill>
    </fill>
  </fills>
  <borders count="12">
    <border>
      <left/>
      <right/>
      <top/>
      <bottom/>
      <diagonal/>
    </border>
    <border>
      <left/>
      <right/>
      <top/>
      <bottom style="thick">
        <color theme="4"/>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9" fontId="3" fillId="0" borderId="0" applyFont="0" applyFill="0" applyBorder="0" applyAlignment="0" applyProtection="0"/>
    <xf numFmtId="0" fontId="4" fillId="0" borderId="1" applyNumberFormat="0" applyFill="0" applyAlignment="0" applyProtection="0"/>
    <xf numFmtId="0" fontId="11" fillId="0" borderId="0" applyNumberFormat="0" applyFill="0" applyBorder="0" applyAlignment="0" applyProtection="0"/>
  </cellStyleXfs>
  <cellXfs count="68">
    <xf numFmtId="0" fontId="0" fillId="0" borderId="0" xfId="0"/>
    <xf numFmtId="0" fontId="0" fillId="0" borderId="0" xfId="0" applyAlignment="1">
      <alignment horizontal="center"/>
    </xf>
    <xf numFmtId="3" fontId="0" fillId="0" borderId="0" xfId="0" applyNumberFormat="1" applyAlignment="1">
      <alignment horizontal="center"/>
    </xf>
    <xf numFmtId="0" fontId="0" fillId="2" borderId="0" xfId="0" applyFill="1" applyAlignment="1">
      <alignment horizontal="center" wrapText="1"/>
    </xf>
    <xf numFmtId="0" fontId="0" fillId="3" borderId="0" xfId="0" applyFill="1" applyAlignment="1">
      <alignment horizontal="center" wrapText="1"/>
    </xf>
    <xf numFmtId="165" fontId="0" fillId="0" borderId="0" xfId="0" applyNumberFormat="1"/>
    <xf numFmtId="9" fontId="0" fillId="0" borderId="0" xfId="1" applyFont="1" applyAlignment="1">
      <alignment horizontal="center"/>
    </xf>
    <xf numFmtId="0" fontId="0" fillId="4" borderId="0" xfId="0" applyFill="1" applyAlignment="1">
      <alignment horizontal="center" wrapText="1"/>
    </xf>
    <xf numFmtId="0" fontId="0" fillId="5" borderId="0" xfId="0" applyFill="1" applyAlignment="1">
      <alignment horizontal="center" wrapText="1"/>
    </xf>
    <xf numFmtId="2" fontId="0" fillId="0" borderId="0" xfId="0" applyNumberFormat="1" applyAlignment="1">
      <alignment horizontal="center"/>
    </xf>
    <xf numFmtId="0" fontId="0" fillId="6" borderId="0" xfId="0" applyFill="1" applyAlignment="1">
      <alignment horizontal="center" wrapText="1"/>
    </xf>
    <xf numFmtId="166" fontId="0" fillId="0" borderId="0" xfId="1" applyNumberFormat="1" applyFont="1" applyAlignment="1">
      <alignment horizontal="center"/>
    </xf>
    <xf numFmtId="10" fontId="0" fillId="0" borderId="0" xfId="1" applyNumberFormat="1" applyFont="1" applyAlignment="1">
      <alignment horizontal="center"/>
    </xf>
    <xf numFmtId="167" fontId="0" fillId="0" borderId="0" xfId="1" applyNumberFormat="1" applyFont="1" applyAlignment="1">
      <alignment horizontal="center"/>
    </xf>
    <xf numFmtId="0" fontId="0" fillId="7" borderId="0" xfId="0" applyFill="1" applyAlignment="1">
      <alignment horizontal="center"/>
    </xf>
    <xf numFmtId="3" fontId="0" fillId="7" borderId="0" xfId="0" applyNumberFormat="1" applyFill="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5" xfId="0" applyBorder="1"/>
    <xf numFmtId="0" fontId="0" fillId="0" borderId="0" xfId="0" applyBorder="1"/>
    <xf numFmtId="10" fontId="6" fillId="0" borderId="0" xfId="0" applyNumberFormat="1" applyFont="1" applyBorder="1" applyAlignment="1">
      <alignment horizontal="center"/>
    </xf>
    <xf numFmtId="0" fontId="0" fillId="0" borderId="7" xfId="0" applyBorder="1"/>
    <xf numFmtId="0" fontId="0" fillId="0" borderId="8" xfId="0" applyBorder="1"/>
    <xf numFmtId="10" fontId="6" fillId="0" borderId="8" xfId="0" applyNumberFormat="1" applyFont="1" applyBorder="1" applyAlignment="1">
      <alignment horizontal="center"/>
    </xf>
    <xf numFmtId="0" fontId="5" fillId="0" borderId="5" xfId="0" applyFont="1" applyBorder="1"/>
    <xf numFmtId="0" fontId="5" fillId="0" borderId="0" xfId="0" applyFont="1" applyBorder="1"/>
    <xf numFmtId="0" fontId="5" fillId="0" borderId="6" xfId="0" applyFont="1" applyBorder="1"/>
    <xf numFmtId="10" fontId="8" fillId="0" borderId="6" xfId="1" applyNumberFormat="1" applyFont="1" applyBorder="1" applyAlignment="1">
      <alignment horizontal="center"/>
    </xf>
    <xf numFmtId="166" fontId="0" fillId="0" borderId="6" xfId="1" applyNumberFormat="1" applyFont="1" applyBorder="1" applyAlignment="1">
      <alignment horizontal="center"/>
    </xf>
    <xf numFmtId="0" fontId="0" fillId="0" borderId="10" xfId="0" applyBorder="1" applyAlignment="1">
      <alignment vertical="center"/>
    </xf>
    <xf numFmtId="0" fontId="0" fillId="0" borderId="11" xfId="0" applyBorder="1" applyAlignment="1">
      <alignment vertical="center"/>
    </xf>
    <xf numFmtId="0" fontId="6" fillId="0" borderId="6" xfId="0" applyFont="1" applyBorder="1" applyAlignment="1">
      <alignment horizontal="center"/>
    </xf>
    <xf numFmtId="0" fontId="6" fillId="0" borderId="9" xfId="0" applyFont="1" applyBorder="1" applyAlignment="1">
      <alignment horizontal="center"/>
    </xf>
    <xf numFmtId="165" fontId="0" fillId="7" borderId="0" xfId="0" applyNumberFormat="1" applyFill="1" applyAlignment="1">
      <alignment horizontal="center"/>
    </xf>
    <xf numFmtId="2" fontId="0" fillId="7" borderId="0" xfId="0" applyNumberFormat="1" applyFill="1" applyAlignment="1">
      <alignment horizontal="center"/>
    </xf>
    <xf numFmtId="168" fontId="0" fillId="7" borderId="0" xfId="0" applyNumberFormat="1" applyFill="1" applyAlignment="1">
      <alignment horizontal="center"/>
    </xf>
    <xf numFmtId="0" fontId="0" fillId="0" borderId="0" xfId="0" applyFill="1" applyBorder="1"/>
    <xf numFmtId="2" fontId="6" fillId="0" borderId="0" xfId="0" applyNumberFormat="1" applyFont="1" applyBorder="1" applyAlignment="1">
      <alignment horizontal="center"/>
    </xf>
    <xf numFmtId="0" fontId="5" fillId="0" borderId="0" xfId="0" applyFont="1" applyAlignment="1">
      <alignment horizontal="center"/>
    </xf>
    <xf numFmtId="168" fontId="0" fillId="0" borderId="0" xfId="0" applyNumberFormat="1" applyAlignment="1">
      <alignment horizontal="center"/>
    </xf>
    <xf numFmtId="10" fontId="0" fillId="0" borderId="6" xfId="1" applyNumberFormat="1" applyFont="1" applyBorder="1" applyAlignment="1">
      <alignment horizontal="center"/>
    </xf>
    <xf numFmtId="0" fontId="5" fillId="5" borderId="0" xfId="0" applyFont="1" applyFill="1" applyAlignment="1">
      <alignment horizontal="center"/>
    </xf>
    <xf numFmtId="0" fontId="5" fillId="5" borderId="0" xfId="0" applyFont="1" applyFill="1" applyAlignment="1">
      <alignment horizontal="center" wrapText="1"/>
    </xf>
    <xf numFmtId="169" fontId="0" fillId="0" borderId="0" xfId="0" applyNumberFormat="1" applyAlignment="1">
      <alignment horizontal="center"/>
    </xf>
    <xf numFmtId="10" fontId="6" fillId="0" borderId="0" xfId="1" applyNumberFormat="1" applyFont="1" applyBorder="1" applyAlignment="1">
      <alignment horizontal="center"/>
    </xf>
    <xf numFmtId="10" fontId="6" fillId="0" borderId="8" xfId="1" applyNumberFormat="1" applyFont="1" applyBorder="1" applyAlignment="1">
      <alignment horizontal="center"/>
    </xf>
    <xf numFmtId="0" fontId="5" fillId="0" borderId="6" xfId="0" applyFont="1" applyBorder="1" applyAlignment="1">
      <alignment horizontal="center"/>
    </xf>
    <xf numFmtId="0" fontId="0" fillId="8" borderId="0" xfId="0" applyFill="1" applyAlignment="1">
      <alignment horizontal="center"/>
    </xf>
    <xf numFmtId="0" fontId="5" fillId="0" borderId="0" xfId="0" applyFont="1" applyFill="1" applyAlignment="1">
      <alignment horizontal="center" wrapText="1"/>
    </xf>
    <xf numFmtId="0" fontId="5" fillId="4" borderId="0" xfId="0" applyFont="1" applyFill="1" applyAlignment="1">
      <alignment horizontal="center"/>
    </xf>
    <xf numFmtId="0" fontId="5" fillId="4" borderId="0" xfId="0" applyFont="1" applyFill="1" applyAlignment="1">
      <alignment horizontal="center" wrapText="1"/>
    </xf>
    <xf numFmtId="3" fontId="0" fillId="0" borderId="0" xfId="0" applyNumberFormat="1"/>
    <xf numFmtId="164" fontId="0" fillId="0" borderId="0" xfId="0" applyNumberFormat="1"/>
    <xf numFmtId="166" fontId="0" fillId="0" borderId="0" xfId="1" applyNumberFormat="1" applyFont="1"/>
    <xf numFmtId="168" fontId="0" fillId="8" borderId="0" xfId="0" applyNumberFormat="1" applyFill="1" applyAlignment="1">
      <alignment horizontal="center"/>
    </xf>
    <xf numFmtId="4" fontId="0" fillId="0" borderId="0" xfId="0" applyNumberFormat="1" applyAlignment="1">
      <alignment horizontal="center"/>
    </xf>
    <xf numFmtId="0" fontId="5" fillId="0" borderId="0" xfId="0" applyFont="1" applyFill="1" applyBorder="1" applyAlignment="1">
      <alignment horizontal="center"/>
    </xf>
    <xf numFmtId="2" fontId="0" fillId="0" borderId="6" xfId="1" applyNumberFormat="1" applyFont="1" applyBorder="1" applyAlignment="1">
      <alignment horizontal="center"/>
    </xf>
    <xf numFmtId="164" fontId="0" fillId="0" borderId="6" xfId="1" applyNumberFormat="1" applyFont="1" applyBorder="1" applyAlignment="1">
      <alignment horizontal="center"/>
    </xf>
    <xf numFmtId="164" fontId="0" fillId="0" borderId="9" xfId="1" applyNumberFormat="1" applyFont="1" applyBorder="1" applyAlignment="1">
      <alignment horizontal="center"/>
    </xf>
    <xf numFmtId="170" fontId="8" fillId="0" borderId="6" xfId="0" applyNumberFormat="1" applyFont="1" applyBorder="1" applyAlignment="1">
      <alignment horizontal="center"/>
    </xf>
    <xf numFmtId="170" fontId="8" fillId="0" borderId="9" xfId="0" applyNumberFormat="1" applyFont="1" applyBorder="1" applyAlignment="1">
      <alignment horizontal="center"/>
    </xf>
    <xf numFmtId="0" fontId="4" fillId="0" borderId="2" xfId="2" applyBorder="1" applyAlignment="1">
      <alignment horizontal="center"/>
    </xf>
    <xf numFmtId="0" fontId="4" fillId="0" borderId="3" xfId="2" applyBorder="1" applyAlignment="1">
      <alignment horizontal="center"/>
    </xf>
    <xf numFmtId="0" fontId="4" fillId="0" borderId="4" xfId="2" applyBorder="1" applyAlignment="1">
      <alignment horizontal="center"/>
    </xf>
    <xf numFmtId="0" fontId="11" fillId="0" borderId="0" xfId="3"/>
    <xf numFmtId="0" fontId="0" fillId="0" borderId="0" xfId="0" applyAlignment="1">
      <alignment wrapText="1"/>
    </xf>
    <xf numFmtId="0" fontId="5" fillId="0" borderId="0" xfId="0" applyFont="1"/>
  </cellXfs>
  <cellStyles count="4">
    <cellStyle name="Heading 1" xfId="2" builtinId="16"/>
    <cellStyle name="Hyperlink" xfId="3" builtinId="8"/>
    <cellStyle name="Normal" xfId="0" builtinId="0"/>
    <cellStyle name="Percent" xfId="1" builtinId="5"/>
  </cellStyles>
  <dxfs count="0"/>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beef and dairy cattle enteric fermentation methane emissions, 1990 - 2018 (US EPA)</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areaChart>
        <c:grouping val="stacked"/>
        <c:varyColors val="0"/>
        <c:ser>
          <c:idx val="0"/>
          <c:order val="0"/>
          <c:tx>
            <c:strRef>
              <c:f>'GHG emissions'!$V$1</c:f>
              <c:strCache>
                <c:ptCount val="1"/>
                <c:pt idx="0">
                  <c:v>Dairy cattle enteric fermentation methane, kt</c:v>
                </c:pt>
              </c:strCache>
            </c:strRef>
          </c:tx>
          <c:spPr>
            <a:solidFill>
              <a:schemeClr val="accent1"/>
            </a:solidFill>
            <a:ln>
              <a:noFill/>
            </a:ln>
            <a:effectLst/>
          </c:spPr>
          <c:cat>
            <c:numRef>
              <c:f>'GHG emissions'!$A$2:$A$30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'GHG emissions'!$V$2:$V$30</c:f>
              <c:numCache>
                <c:formatCode>#,##0</c:formatCode>
                <c:ptCount val="29"/>
                <c:pt idx="0">
                  <c:v>1574</c:v>
                </c:pt>
                <c:pt idx="1">
                  <c:v>1559</c:v>
                </c:pt>
                <c:pt idx="2">
                  <c:v>1538</c:v>
                </c:pt>
                <c:pt idx="3">
                  <c:v>1526</c:v>
                </c:pt>
                <c:pt idx="4">
                  <c:v>1502</c:v>
                </c:pt>
                <c:pt idx="5">
                  <c:v>1498</c:v>
                </c:pt>
                <c:pt idx="6">
                  <c:v>1481</c:v>
                </c:pt>
                <c:pt idx="7">
                  <c:v>1475</c:v>
                </c:pt>
                <c:pt idx="8">
                  <c:v>1463</c:v>
                </c:pt>
                <c:pt idx="9">
                  <c:v>1503</c:v>
                </c:pt>
                <c:pt idx="10">
                  <c:v>1519</c:v>
                </c:pt>
                <c:pt idx="11">
                  <c:v>1509</c:v>
                </c:pt>
                <c:pt idx="12">
                  <c:v>1512</c:v>
                </c:pt>
                <c:pt idx="13">
                  <c:v>1520</c:v>
                </c:pt>
                <c:pt idx="14">
                  <c:v>1476</c:v>
                </c:pt>
                <c:pt idx="15">
                  <c:v>1503</c:v>
                </c:pt>
                <c:pt idx="16">
                  <c:v>1534</c:v>
                </c:pt>
                <c:pt idx="17">
                  <c:v>1601</c:v>
                </c:pt>
                <c:pt idx="18">
                  <c:v>1623</c:v>
                </c:pt>
                <c:pt idx="19">
                  <c:v>1639</c:v>
                </c:pt>
                <c:pt idx="20">
                  <c:v>1627</c:v>
                </c:pt>
                <c:pt idx="21">
                  <c:v>1645</c:v>
                </c:pt>
                <c:pt idx="22">
                  <c:v>1670</c:v>
                </c:pt>
                <c:pt idx="23">
                  <c:v>1664</c:v>
                </c:pt>
                <c:pt idx="24">
                  <c:v>1679</c:v>
                </c:pt>
                <c:pt idx="25">
                  <c:v>1706</c:v>
                </c:pt>
                <c:pt idx="26">
                  <c:v>1722</c:v>
                </c:pt>
                <c:pt idx="27">
                  <c:v>1730</c:v>
                </c:pt>
                <c:pt idx="28">
                  <c:v>1744</c:v>
                </c:pt>
              </c:numCache>
            </c:numRef>
          </c:val>
          <c:extLst>
            <c:ext xmlns:c16="http://schemas.microsoft.com/office/drawing/2014/chart" uri="{C3380CC4-5D6E-409C-BE32-E72D297353CC}">
              <c16:uniqueId val="{00000000-C633-4328-BF12-21AE32915D72}"/>
            </c:ext>
          </c:extLst>
        </c:ser>
        <c:ser>
          <c:idx val="1"/>
          <c:order val="1"/>
          <c:tx>
            <c:strRef>
              <c:f>'GHG emissions'!$AC$1</c:f>
              <c:strCache>
                <c:ptCount val="1"/>
                <c:pt idx="0">
                  <c:v>Beef cattle enteric fermentation methane, kt</c:v>
                </c:pt>
              </c:strCache>
            </c:strRef>
          </c:tx>
          <c:spPr>
            <a:solidFill>
              <a:schemeClr val="accent2"/>
            </a:solidFill>
            <a:ln w="25400">
              <a:noFill/>
            </a:ln>
            <a:effectLst/>
          </c:spPr>
          <c:cat>
            <c:numRef>
              <c:f>'GHG emissions'!$A$2:$A$30</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'GHG emissions'!$AC$2:$AC$30</c:f>
              <c:numCache>
                <c:formatCode>#,##0</c:formatCode>
                <c:ptCount val="29"/>
                <c:pt idx="0">
                  <c:v>4763</c:v>
                </c:pt>
                <c:pt idx="1">
                  <c:v>4786</c:v>
                </c:pt>
                <c:pt idx="2">
                  <c:v>4999</c:v>
                </c:pt>
                <c:pt idx="3">
                  <c:v>5110</c:v>
                </c:pt>
                <c:pt idx="4">
                  <c:v>5253</c:v>
                </c:pt>
                <c:pt idx="5">
                  <c:v>5419</c:v>
                </c:pt>
                <c:pt idx="6">
                  <c:v>5393</c:v>
                </c:pt>
                <c:pt idx="7">
                  <c:v>5260</c:v>
                </c:pt>
                <c:pt idx="8">
                  <c:v>5191</c:v>
                </c:pt>
                <c:pt idx="9">
                  <c:v>5159</c:v>
                </c:pt>
                <c:pt idx="10">
                  <c:v>5070</c:v>
                </c:pt>
                <c:pt idx="11">
                  <c:v>5037</c:v>
                </c:pt>
                <c:pt idx="12">
                  <c:v>5040</c:v>
                </c:pt>
                <c:pt idx="13">
                  <c:v>5041</c:v>
                </c:pt>
                <c:pt idx="14">
                  <c:v>4956</c:v>
                </c:pt>
                <c:pt idx="15">
                  <c:v>5007</c:v>
                </c:pt>
                <c:pt idx="16">
                  <c:v>5081</c:v>
                </c:pt>
                <c:pt idx="17">
                  <c:v>5123</c:v>
                </c:pt>
                <c:pt idx="18">
                  <c:v>5078</c:v>
                </c:pt>
                <c:pt idx="19">
                  <c:v>5034</c:v>
                </c:pt>
                <c:pt idx="20">
                  <c:v>4984</c:v>
                </c:pt>
                <c:pt idx="21">
                  <c:v>4873</c:v>
                </c:pt>
                <c:pt idx="22">
                  <c:v>4763</c:v>
                </c:pt>
                <c:pt idx="23">
                  <c:v>4722</c:v>
                </c:pt>
                <c:pt idx="24">
                  <c:v>4660</c:v>
                </c:pt>
                <c:pt idx="25">
                  <c:v>4722</c:v>
                </c:pt>
                <c:pt idx="26">
                  <c:v>4919</c:v>
                </c:pt>
                <c:pt idx="27">
                  <c:v>5052</c:v>
                </c:pt>
                <c:pt idx="28">
                  <c:v>5125</c:v>
                </c:pt>
              </c:numCache>
            </c:numRef>
          </c:val>
          <c:extLst>
            <c:ext xmlns:c16="http://schemas.microsoft.com/office/drawing/2014/chart" uri="{C3380CC4-5D6E-409C-BE32-E72D297353CC}">
              <c16:uniqueId val="{00000002-C633-4328-BF12-21AE32915D72}"/>
            </c:ext>
          </c:extLst>
        </c:ser>
        <c:dLbls>
          <c:showLegendKey val="0"/>
          <c:showVal val="0"/>
          <c:showCatName val="0"/>
          <c:showSerName val="0"/>
          <c:showPercent val="0"/>
          <c:showBubbleSize val="0"/>
        </c:dLbls>
        <c:axId val="1368774032"/>
        <c:axId val="1368772720"/>
      </c:areaChart>
      <c:catAx>
        <c:axId val="136877403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68772720"/>
        <c:crosses val="autoZero"/>
        <c:auto val="1"/>
        <c:lblAlgn val="ctr"/>
        <c:lblOffset val="100"/>
        <c:noMultiLvlLbl val="0"/>
      </c:catAx>
      <c:valAx>
        <c:axId val="1368772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Methane emissions, kt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687740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Beef Cattle Production</a:t>
            </a:r>
            <a:r>
              <a:rPr lang="en-US" baseline="0"/>
              <a:t> GHG Emissions in CO2we, MMT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'GHG emissions'!$BR$1</c:f>
              <c:strCache>
                <c:ptCount val="1"/>
                <c:pt idx="0">
                  <c:v>CO2we beef cattle enteric fermentation, MMT</c:v>
                </c:pt>
              </c:strCache>
            </c:strRef>
          </c:tx>
          <c:spPr>
            <a:solidFill>
              <a:schemeClr val="accent2"/>
            </a:solidFill>
            <a:ln w="25400">
              <a:noFill/>
            </a:ln>
            <a:effectLst/>
          </c:spPr>
          <c:cat>
            <c:numRef>
              <c:f>'GHG emissions'!$A$22:$A$61</c:f>
              <c:numCache>
                <c:formatCode>General</c:formatCode>
                <c:ptCount val="4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numCache>
            </c:numRef>
          </c:cat>
          <c:val>
            <c:numRef>
              <c:f>'GHG emissions'!$BR$22:$BR$62</c:f>
              <c:numCache>
                <c:formatCode>0.000</c:formatCode>
                <c:ptCount val="41"/>
                <c:pt idx="0">
                  <c:v>65.373559999999998</c:v>
                </c:pt>
                <c:pt idx="1">
                  <c:v>48.557320000000118</c:v>
                </c:pt>
                <c:pt idx="2">
                  <c:v>9.2579200000001265</c:v>
                </c:pt>
                <c:pt idx="3">
                  <c:v>-9.151520000000005</c:v>
                </c:pt>
                <c:pt idx="4">
                  <c:v>-34.032600000000002</c:v>
                </c:pt>
                <c:pt idx="5">
                  <c:v>-45.922519999999963</c:v>
                </c:pt>
                <c:pt idx="6">
                  <c:v>-17.841040000000021</c:v>
                </c:pt>
                <c:pt idx="7">
                  <c:v>14.855680000000007</c:v>
                </c:pt>
                <c:pt idx="8">
                  <c:v>32.325999999999908</c:v>
                </c:pt>
                <c:pt idx="9">
                  <c:v>40.827080000000024</c:v>
                </c:pt>
                <c:pt idx="10">
                  <c:v>51.544920000000047</c:v>
                </c:pt>
                <c:pt idx="11">
                  <c:v>55.471920000000068</c:v>
                </c:pt>
                <c:pt idx="12">
                  <c:v>55.114920000000097</c:v>
                </c:pt>
                <c:pt idx="13">
                  <c:v>54.995920000000069</c:v>
                </c:pt>
                <c:pt idx="14">
                  <c:v>65.110920000000078</c:v>
                </c:pt>
                <c:pt idx="15">
                  <c:v>59.041920000000118</c:v>
                </c:pt>
                <c:pt idx="16">
                  <c:v>49.805932399999961</c:v>
                </c:pt>
                <c:pt idx="17">
                  <c:v>44.380094738000139</c:v>
                </c:pt>
                <c:pt idx="18">
                  <c:v>49.309396264310067</c:v>
                </c:pt>
                <c:pt idx="19">
                  <c:v>54.121826282988422</c:v>
                </c:pt>
                <c:pt idx="20">
                  <c:v>59.650374151573487</c:v>
                </c:pt>
                <c:pt idx="21">
                  <c:v>66.331910410057844</c:v>
                </c:pt>
                <c:pt idx="22">
                  <c:v>72.95972130595726</c:v>
                </c:pt>
                <c:pt idx="23">
                  <c:v>71.441154092897705</c:v>
                </c:pt>
                <c:pt idx="24">
                  <c:v>72.485562551968769</c:v>
                </c:pt>
                <c:pt idx="25">
                  <c:v>58.837306926448946</c:v>
                </c:pt>
                <c:pt idx="26">
                  <c:v>29.186753857184613</c:v>
                </c:pt>
                <c:pt idx="27">
                  <c:v>7.2142763186126331</c:v>
                </c:pt>
                <c:pt idx="28">
                  <c:v>-7.5567464445734913</c:v>
                </c:pt>
                <c:pt idx="29">
                  <c:v>-17.982928980127781</c:v>
                </c:pt>
                <c:pt idx="30">
                  <c:v>-24.064879690326393</c:v>
                </c:pt>
                <c:pt idx="31">
                  <c:v>-32.919861494971769</c:v>
                </c:pt>
                <c:pt idx="32">
                  <c:v>-41.642018572547045</c:v>
                </c:pt>
                <c:pt idx="33">
                  <c:v>-50.233343293959024</c:v>
                </c:pt>
                <c:pt idx="34">
                  <c:v>-58.695798144549372</c:v>
                </c:pt>
                <c:pt idx="35">
                  <c:v>-67.031316172381253</c:v>
                </c:pt>
                <c:pt idx="36">
                  <c:v>-74.838391429795365</c:v>
                </c:pt>
                <c:pt idx="37">
                  <c:v>-82.524326458348696</c:v>
                </c:pt>
                <c:pt idx="38">
                  <c:v>-90.090958531973456</c:v>
                </c:pt>
                <c:pt idx="39">
                  <c:v>-97.540097264641076</c:v>
                </c:pt>
                <c:pt idx="40">
                  <c:v>-104.8735250257659</c:v>
                </c:pt>
              </c:numCache>
            </c:numRef>
          </c:val>
          <c:extLst>
            <c:ext xmlns:c16="http://schemas.microsoft.com/office/drawing/2014/chart" uri="{C3380CC4-5D6E-409C-BE32-E72D297353CC}">
              <c16:uniqueId val="{00000002-7803-4729-8E88-7F6E4DF97895}"/>
            </c:ext>
          </c:extLst>
        </c:ser>
        <c:ser>
          <c:idx val="2"/>
          <c:order val="1"/>
          <c:tx>
            <c:strRef>
              <c:f>'GHG emissions'!$BS$1</c:f>
              <c:strCache>
                <c:ptCount val="1"/>
                <c:pt idx="0">
                  <c:v>CO2we beef cattle managed manure, MMT</c:v>
                </c:pt>
              </c:strCache>
            </c:strRef>
          </c:tx>
          <c:spPr>
            <a:solidFill>
              <a:schemeClr val="accent3"/>
            </a:solidFill>
            <a:ln w="25400">
              <a:noFill/>
            </a:ln>
            <a:effectLst/>
          </c:spPr>
          <c:cat>
            <c:numRef>
              <c:f>'GHG emissions'!$A$22:$A$61</c:f>
              <c:numCache>
                <c:formatCode>General</c:formatCode>
                <c:ptCount val="4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numCache>
            </c:numRef>
          </c:cat>
          <c:val>
            <c:numRef>
              <c:f>'GHG emissions'!$BS$22:$BS$62</c:f>
              <c:numCache>
                <c:formatCode>0.000</c:formatCode>
                <c:ptCount val="41"/>
                <c:pt idx="0">
                  <c:v>1.083599999999997</c:v>
                </c:pt>
                <c:pt idx="1">
                  <c:v>0.96180000000000021</c:v>
                </c:pt>
                <c:pt idx="2">
                  <c:v>0.23939999999999628</c:v>
                </c:pt>
                <c:pt idx="3">
                  <c:v>-0.61040000000000205</c:v>
                </c:pt>
                <c:pt idx="4">
                  <c:v>-1.4490000000000034</c:v>
                </c:pt>
                <c:pt idx="5">
                  <c:v>-1.1942000000000004</c:v>
                </c:pt>
                <c:pt idx="6">
                  <c:v>-0.10640000000000427</c:v>
                </c:pt>
                <c:pt idx="7">
                  <c:v>0.61879999999999846</c:v>
                </c:pt>
                <c:pt idx="8">
                  <c:v>0.14000000000000057</c:v>
                </c:pt>
                <c:pt idx="9">
                  <c:v>0.26179999999999737</c:v>
                </c:pt>
                <c:pt idx="10">
                  <c:v>0.85400000000000098</c:v>
                </c:pt>
                <c:pt idx="11">
                  <c:v>0.49700000000000166</c:v>
                </c:pt>
                <c:pt idx="12">
                  <c:v>0.85400000000000098</c:v>
                </c:pt>
                <c:pt idx="13">
                  <c:v>0.85400000000000098</c:v>
                </c:pt>
                <c:pt idx="14">
                  <c:v>1.0920000000000005</c:v>
                </c:pt>
                <c:pt idx="15">
                  <c:v>0.61600000000000144</c:v>
                </c:pt>
                <c:pt idx="16">
                  <c:v>0.14000000000000057</c:v>
                </c:pt>
                <c:pt idx="17">
                  <c:v>0.49700000000000166</c:v>
                </c:pt>
                <c:pt idx="18">
                  <c:v>0.97300000000000075</c:v>
                </c:pt>
                <c:pt idx="19">
                  <c:v>0.97300000000000075</c:v>
                </c:pt>
                <c:pt idx="20">
                  <c:v>0.73500000000000121</c:v>
                </c:pt>
                <c:pt idx="21">
                  <c:v>0.85400000000000098</c:v>
                </c:pt>
                <c:pt idx="22">
                  <c:v>1.2110000000000021</c:v>
                </c:pt>
                <c:pt idx="23">
                  <c:v>1.9250000000000007</c:v>
                </c:pt>
                <c:pt idx="24">
                  <c:v>2.163000000000002</c:v>
                </c:pt>
                <c:pt idx="25">
                  <c:v>1.4490000000000016</c:v>
                </c:pt>
                <c:pt idx="26">
                  <c:v>0.73500000000000121</c:v>
                </c:pt>
                <c:pt idx="27">
                  <c:v>0.25900000000000034</c:v>
                </c:pt>
                <c:pt idx="28">
                  <c:v>0.37800000000000011</c:v>
                </c:pt>
                <c:pt idx="29">
                  <c:v>0.25900000000000034</c:v>
                </c:pt>
                <c:pt idx="30">
                  <c:v>0.37800000000000011</c:v>
                </c:pt>
                <c:pt idx="31">
                  <c:v>0.37800000000000011</c:v>
                </c:pt>
                <c:pt idx="32">
                  <c:v>0.37800000000000011</c:v>
                </c:pt>
                <c:pt idx="33">
                  <c:v>0.37800000000000011</c:v>
                </c:pt>
                <c:pt idx="34">
                  <c:v>0.37800000000000011</c:v>
                </c:pt>
                <c:pt idx="35">
                  <c:v>0.37800000000000011</c:v>
                </c:pt>
                <c:pt idx="36">
                  <c:v>0.37800000000000011</c:v>
                </c:pt>
                <c:pt idx="37">
                  <c:v>0.37800000000000011</c:v>
                </c:pt>
                <c:pt idx="38">
                  <c:v>0.37800000000000011</c:v>
                </c:pt>
                <c:pt idx="39">
                  <c:v>0.37800000000000011</c:v>
                </c:pt>
                <c:pt idx="40">
                  <c:v>0.37800000000000011</c:v>
                </c:pt>
              </c:numCache>
            </c:numRef>
          </c:val>
          <c:extLst>
            <c:ext xmlns:c16="http://schemas.microsoft.com/office/drawing/2014/chart" uri="{C3380CC4-5D6E-409C-BE32-E72D297353CC}">
              <c16:uniqueId val="{00000003-7803-4729-8E88-7F6E4DF97895}"/>
            </c:ext>
          </c:extLst>
        </c:ser>
        <c:ser>
          <c:idx val="3"/>
          <c:order val="2"/>
          <c:tx>
            <c:strRef>
              <c:f>'GHG emissions'!$BT$1</c:f>
              <c:strCache>
                <c:ptCount val="1"/>
                <c:pt idx="0">
                  <c:v>Beef cattle manure nitrous oxide, MMT CO2we</c:v>
                </c:pt>
              </c:strCache>
            </c:strRef>
          </c:tx>
          <c:spPr>
            <a:solidFill>
              <a:schemeClr val="accent4"/>
            </a:solidFill>
            <a:ln w="25400">
              <a:noFill/>
            </a:ln>
            <a:effectLst/>
          </c:spPr>
          <c:cat>
            <c:numRef>
              <c:f>'GHG emissions'!$A$22:$A$61</c:f>
              <c:numCache>
                <c:formatCode>General</c:formatCode>
                <c:ptCount val="4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numCache>
            </c:numRef>
          </c:cat>
          <c:val>
            <c:numRef>
              <c:f>'GHG emissions'!$BT$22:$BT$62</c:f>
              <c:numCache>
                <c:formatCode>General</c:formatCode>
                <c:ptCount val="41"/>
                <c:pt idx="0">
                  <c:v>6.7045000000000003</c:v>
                </c:pt>
                <c:pt idx="1">
                  <c:v>6.8635000000000002</c:v>
                </c:pt>
                <c:pt idx="2">
                  <c:v>6.8369999999999997</c:v>
                </c:pt>
                <c:pt idx="3">
                  <c:v>6.89</c:v>
                </c:pt>
                <c:pt idx="4">
                  <c:v>6.89</c:v>
                </c:pt>
                <c:pt idx="5">
                  <c:v>6.8369999999999997</c:v>
                </c:pt>
                <c:pt idx="6">
                  <c:v>7.2080000000000002</c:v>
                </c:pt>
                <c:pt idx="7">
                  <c:v>7.6055000000000001</c:v>
                </c:pt>
                <c:pt idx="8">
                  <c:v>8.2149999999999999</c:v>
                </c:pt>
                <c:pt idx="9">
                  <c:v>8.3475000000000001</c:v>
                </c:pt>
                <c:pt idx="10">
                  <c:v>8.3475000000000001</c:v>
                </c:pt>
                <c:pt idx="11">
                  <c:v>8.3475000000000001</c:v>
                </c:pt>
                <c:pt idx="12">
                  <c:v>8.3475000000000001</c:v>
                </c:pt>
                <c:pt idx="13">
                  <c:v>8.3475000000000001</c:v>
                </c:pt>
                <c:pt idx="14">
                  <c:v>8.3475000000000001</c:v>
                </c:pt>
                <c:pt idx="15">
                  <c:v>8.3475000000000001</c:v>
                </c:pt>
                <c:pt idx="16">
                  <c:v>8.3475000000000001</c:v>
                </c:pt>
                <c:pt idx="17">
                  <c:v>8.3475000000000001</c:v>
                </c:pt>
                <c:pt idx="18">
                  <c:v>8.3475000000000001</c:v>
                </c:pt>
                <c:pt idx="19">
                  <c:v>8.3475000000000001</c:v>
                </c:pt>
                <c:pt idx="20">
                  <c:v>8.3475000000000001</c:v>
                </c:pt>
                <c:pt idx="21">
                  <c:v>8.3475000000000001</c:v>
                </c:pt>
                <c:pt idx="22">
                  <c:v>8.3475000000000001</c:v>
                </c:pt>
                <c:pt idx="23">
                  <c:v>8.3475000000000001</c:v>
                </c:pt>
                <c:pt idx="24">
                  <c:v>8.3475000000000001</c:v>
                </c:pt>
                <c:pt idx="25">
                  <c:v>8.3475000000000001</c:v>
                </c:pt>
                <c:pt idx="26">
                  <c:v>8.3475000000000001</c:v>
                </c:pt>
                <c:pt idx="27">
                  <c:v>8.3475000000000001</c:v>
                </c:pt>
                <c:pt idx="28">
                  <c:v>8.3475000000000001</c:v>
                </c:pt>
                <c:pt idx="29">
                  <c:v>8.3475000000000001</c:v>
                </c:pt>
                <c:pt idx="30">
                  <c:v>8.3475000000000001</c:v>
                </c:pt>
                <c:pt idx="31">
                  <c:v>8.3475000000000001</c:v>
                </c:pt>
                <c:pt idx="32">
                  <c:v>8.3475000000000001</c:v>
                </c:pt>
                <c:pt idx="33">
                  <c:v>8.3475000000000001</c:v>
                </c:pt>
                <c:pt idx="34">
                  <c:v>8.3475000000000001</c:v>
                </c:pt>
                <c:pt idx="35">
                  <c:v>8.3475000000000001</c:v>
                </c:pt>
                <c:pt idx="36">
                  <c:v>8.3475000000000001</c:v>
                </c:pt>
                <c:pt idx="37">
                  <c:v>8.3475000000000001</c:v>
                </c:pt>
                <c:pt idx="38">
                  <c:v>8.3475000000000001</c:v>
                </c:pt>
                <c:pt idx="39">
                  <c:v>8.3475000000000001</c:v>
                </c:pt>
                <c:pt idx="40">
                  <c:v>8.3475000000000001</c:v>
                </c:pt>
              </c:numCache>
            </c:numRef>
          </c:val>
          <c:extLst>
            <c:ext xmlns:c16="http://schemas.microsoft.com/office/drawing/2014/chart" uri="{C3380CC4-5D6E-409C-BE32-E72D297353CC}">
              <c16:uniqueId val="{00000004-7803-4729-8E88-7F6E4DF97895}"/>
            </c:ext>
          </c:extLst>
        </c:ser>
        <c:ser>
          <c:idx val="0"/>
          <c:order val="3"/>
          <c:tx>
            <c:strRef>
              <c:f>'GHG emissions'!$CA$1</c:f>
              <c:strCache>
                <c:ptCount val="1"/>
                <c:pt idx="0">
                  <c:v>Estimated non-direct GHG emissions associated with US beef cattle production, MMT CO2e</c:v>
                </c:pt>
              </c:strCache>
            </c:strRef>
          </c:tx>
          <c:spPr>
            <a:solidFill>
              <a:schemeClr val="accent1"/>
            </a:solidFill>
            <a:ln>
              <a:noFill/>
            </a:ln>
            <a:effectLst/>
          </c:spPr>
          <c:cat>
            <c:numRef>
              <c:f>'GHG emissions'!$A$22:$A$61</c:f>
              <c:numCache>
                <c:formatCode>General</c:formatCode>
                <c:ptCount val="40"/>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numCache>
            </c:numRef>
          </c:cat>
          <c:val>
            <c:numRef>
              <c:f>'GHG emissions'!$CA$22:$CA$62</c:f>
              <c:numCache>
                <c:formatCode>0.00</c:formatCode>
                <c:ptCount val="41"/>
                <c:pt idx="0">
                  <c:v>101.74460904827136</c:v>
                </c:pt>
                <c:pt idx="1">
                  <c:v>101.74460904827136</c:v>
                </c:pt>
                <c:pt idx="2">
                  <c:v>101.74460904827136</c:v>
                </c:pt>
                <c:pt idx="3">
                  <c:v>101.74460904827136</c:v>
                </c:pt>
                <c:pt idx="4">
                  <c:v>101.74460904827136</c:v>
                </c:pt>
                <c:pt idx="5">
                  <c:v>101.74460904827136</c:v>
                </c:pt>
                <c:pt idx="6">
                  <c:v>101.74460904827136</c:v>
                </c:pt>
                <c:pt idx="7">
                  <c:v>101.74460904827136</c:v>
                </c:pt>
                <c:pt idx="8">
                  <c:v>101.74460904827136</c:v>
                </c:pt>
                <c:pt idx="9">
                  <c:v>101.74460904827136</c:v>
                </c:pt>
                <c:pt idx="10">
                  <c:v>101.74460904827136</c:v>
                </c:pt>
                <c:pt idx="11">
                  <c:v>101.74460904827136</c:v>
                </c:pt>
                <c:pt idx="12">
                  <c:v>101.74460904827136</c:v>
                </c:pt>
                <c:pt idx="13">
                  <c:v>101.74460904827136</c:v>
                </c:pt>
                <c:pt idx="14">
                  <c:v>101.74460904827136</c:v>
                </c:pt>
                <c:pt idx="15">
                  <c:v>101.74460904827136</c:v>
                </c:pt>
                <c:pt idx="16">
                  <c:v>100.98152448040933</c:v>
                </c:pt>
                <c:pt idx="17">
                  <c:v>100.22416304680627</c:v>
                </c:pt>
                <c:pt idx="18">
                  <c:v>99.472481823955221</c:v>
                </c:pt>
                <c:pt idx="19">
                  <c:v>98.72643821027556</c:v>
                </c:pt>
                <c:pt idx="20">
                  <c:v>97.985989923698497</c:v>
                </c:pt>
                <c:pt idx="21">
                  <c:v>97.006130024461513</c:v>
                </c:pt>
                <c:pt idx="22">
                  <c:v>96.036068724216904</c:v>
                </c:pt>
                <c:pt idx="23">
                  <c:v>95.075708036974731</c:v>
                </c:pt>
                <c:pt idx="24">
                  <c:v>94.124950956604977</c:v>
                </c:pt>
                <c:pt idx="25">
                  <c:v>93.183701447038928</c:v>
                </c:pt>
                <c:pt idx="26">
                  <c:v>92.251864432568539</c:v>
                </c:pt>
                <c:pt idx="27">
                  <c:v>91.329345788242847</c:v>
                </c:pt>
                <c:pt idx="28">
                  <c:v>90.416052330360415</c:v>
                </c:pt>
                <c:pt idx="29">
                  <c:v>89.511891807056813</c:v>
                </c:pt>
                <c:pt idx="30">
                  <c:v>88.616772888986247</c:v>
                </c:pt>
                <c:pt idx="31">
                  <c:v>86.844437431206515</c:v>
                </c:pt>
                <c:pt idx="32">
                  <c:v>85.10754868258239</c:v>
                </c:pt>
                <c:pt idx="33">
                  <c:v>83.405397708930735</c:v>
                </c:pt>
                <c:pt idx="34">
                  <c:v>81.737289754752112</c:v>
                </c:pt>
                <c:pt idx="35">
                  <c:v>80.102543959657069</c:v>
                </c:pt>
                <c:pt idx="36">
                  <c:v>78.500493080463926</c:v>
                </c:pt>
                <c:pt idx="37">
                  <c:v>76.930483218854647</c:v>
                </c:pt>
                <c:pt idx="38">
                  <c:v>75.391873554477556</c:v>
                </c:pt>
                <c:pt idx="39">
                  <c:v>73.884036083387997</c:v>
                </c:pt>
                <c:pt idx="40">
                  <c:v>72.40635536172023</c:v>
                </c:pt>
              </c:numCache>
            </c:numRef>
          </c:val>
          <c:extLst>
            <c:ext xmlns:c16="http://schemas.microsoft.com/office/drawing/2014/chart" uri="{C3380CC4-5D6E-409C-BE32-E72D297353CC}">
              <c16:uniqueId val="{00000000-7803-4729-8E88-7F6E4DF97895}"/>
            </c:ext>
          </c:extLst>
        </c:ser>
        <c:dLbls>
          <c:showLegendKey val="0"/>
          <c:showVal val="0"/>
          <c:showCatName val="0"/>
          <c:showSerName val="0"/>
          <c:showPercent val="0"/>
          <c:showBubbleSize val="0"/>
        </c:dLbls>
        <c:axId val="979593744"/>
        <c:axId val="979592432"/>
      </c:areaChart>
      <c:catAx>
        <c:axId val="9795937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592432"/>
        <c:crosses val="autoZero"/>
        <c:auto val="1"/>
        <c:lblAlgn val="ctr"/>
        <c:lblOffset val="100"/>
        <c:noMultiLvlLbl val="0"/>
      </c:catAx>
      <c:valAx>
        <c:axId val="97959243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5937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Beef</a:t>
            </a:r>
            <a:r>
              <a:rPr lang="en-US" baseline="0"/>
              <a:t> Cattle Production GHG Emissions in CO2e, MMT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'GHG emissions'!$CA$1</c:f>
              <c:strCache>
                <c:ptCount val="1"/>
                <c:pt idx="0">
                  <c:v>Estimated non-direct GHG emissions associated with US beef cattle production, MMT CO2e</c:v>
                </c:pt>
              </c:strCache>
            </c:strRef>
          </c:tx>
          <c:spPr>
            <a:solidFill>
              <a:schemeClr val="accent1"/>
            </a:solidFill>
            <a:ln>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emissions'!$CA$22:$CA$62</c:f>
              <c:numCache>
                <c:formatCode>0.00</c:formatCode>
                <c:ptCount val="41"/>
                <c:pt idx="0">
                  <c:v>101.74460904827136</c:v>
                </c:pt>
                <c:pt idx="1">
                  <c:v>101.74460904827136</c:v>
                </c:pt>
                <c:pt idx="2">
                  <c:v>101.74460904827136</c:v>
                </c:pt>
                <c:pt idx="3">
                  <c:v>101.74460904827136</c:v>
                </c:pt>
                <c:pt idx="4">
                  <c:v>101.74460904827136</c:v>
                </c:pt>
                <c:pt idx="5">
                  <c:v>101.74460904827136</c:v>
                </c:pt>
                <c:pt idx="6">
                  <c:v>101.74460904827136</c:v>
                </c:pt>
                <c:pt idx="7">
                  <c:v>101.74460904827136</c:v>
                </c:pt>
                <c:pt idx="8">
                  <c:v>101.74460904827136</c:v>
                </c:pt>
                <c:pt idx="9">
                  <c:v>101.74460904827136</c:v>
                </c:pt>
                <c:pt idx="10">
                  <c:v>101.74460904827136</c:v>
                </c:pt>
                <c:pt idx="11">
                  <c:v>101.74460904827136</c:v>
                </c:pt>
                <c:pt idx="12">
                  <c:v>101.74460904827136</c:v>
                </c:pt>
                <c:pt idx="13">
                  <c:v>101.74460904827136</c:v>
                </c:pt>
                <c:pt idx="14">
                  <c:v>101.74460904827136</c:v>
                </c:pt>
                <c:pt idx="15">
                  <c:v>101.74460904827136</c:v>
                </c:pt>
                <c:pt idx="16">
                  <c:v>100.98152448040933</c:v>
                </c:pt>
                <c:pt idx="17">
                  <c:v>100.22416304680627</c:v>
                </c:pt>
                <c:pt idx="18">
                  <c:v>99.472481823955221</c:v>
                </c:pt>
                <c:pt idx="19">
                  <c:v>98.72643821027556</c:v>
                </c:pt>
                <c:pt idx="20">
                  <c:v>97.985989923698497</c:v>
                </c:pt>
                <c:pt idx="21">
                  <c:v>97.006130024461513</c:v>
                </c:pt>
                <c:pt idx="22">
                  <c:v>96.036068724216904</c:v>
                </c:pt>
                <c:pt idx="23">
                  <c:v>95.075708036974731</c:v>
                </c:pt>
                <c:pt idx="24">
                  <c:v>94.124950956604977</c:v>
                </c:pt>
                <c:pt idx="25">
                  <c:v>93.183701447038928</c:v>
                </c:pt>
                <c:pt idx="26">
                  <c:v>92.251864432568539</c:v>
                </c:pt>
                <c:pt idx="27">
                  <c:v>91.329345788242847</c:v>
                </c:pt>
                <c:pt idx="28">
                  <c:v>90.416052330360415</c:v>
                </c:pt>
                <c:pt idx="29">
                  <c:v>89.511891807056813</c:v>
                </c:pt>
                <c:pt idx="30">
                  <c:v>88.616772888986247</c:v>
                </c:pt>
                <c:pt idx="31">
                  <c:v>86.844437431206515</c:v>
                </c:pt>
                <c:pt idx="32">
                  <c:v>85.10754868258239</c:v>
                </c:pt>
                <c:pt idx="33">
                  <c:v>83.405397708930735</c:v>
                </c:pt>
                <c:pt idx="34">
                  <c:v>81.737289754752112</c:v>
                </c:pt>
                <c:pt idx="35">
                  <c:v>80.102543959657069</c:v>
                </c:pt>
                <c:pt idx="36">
                  <c:v>78.500493080463926</c:v>
                </c:pt>
                <c:pt idx="37">
                  <c:v>76.930483218854647</c:v>
                </c:pt>
                <c:pt idx="38">
                  <c:v>75.391873554477556</c:v>
                </c:pt>
                <c:pt idx="39">
                  <c:v>73.884036083387997</c:v>
                </c:pt>
                <c:pt idx="40">
                  <c:v>72.40635536172023</c:v>
                </c:pt>
              </c:numCache>
            </c:numRef>
          </c:val>
          <c:extLst>
            <c:ext xmlns:c16="http://schemas.microsoft.com/office/drawing/2014/chart" uri="{C3380CC4-5D6E-409C-BE32-E72D297353CC}">
              <c16:uniqueId val="{00000000-1723-4496-87A8-5EF18A1FB5FE}"/>
            </c:ext>
          </c:extLst>
        </c:ser>
        <c:ser>
          <c:idx val="3"/>
          <c:order val="1"/>
          <c:tx>
            <c:strRef>
              <c:f>'GHG emissions'!$AL$1</c:f>
              <c:strCache>
                <c:ptCount val="1"/>
                <c:pt idx="0">
                  <c:v>Beef cattle enteric CH4, CO2e</c:v>
                </c:pt>
              </c:strCache>
            </c:strRef>
          </c:tx>
          <c:spPr>
            <a:solidFill>
              <a:schemeClr val="accent2"/>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emissions'!$AL$22:$AL$62</c:f>
              <c:numCache>
                <c:formatCode>General</c:formatCode>
                <c:ptCount val="41"/>
                <c:pt idx="0">
                  <c:v>139.55199999999999</c:v>
                </c:pt>
                <c:pt idx="1">
                  <c:v>136.44400000000002</c:v>
                </c:pt>
                <c:pt idx="2">
                  <c:v>133.364</c:v>
                </c:pt>
                <c:pt idx="3">
                  <c:v>132.21600000000001</c:v>
                </c:pt>
                <c:pt idx="4">
                  <c:v>130.48000000000002</c:v>
                </c:pt>
                <c:pt idx="5">
                  <c:v>132.21600000000001</c:v>
                </c:pt>
                <c:pt idx="6">
                  <c:v>137.732</c:v>
                </c:pt>
                <c:pt idx="7">
                  <c:v>141.45599999999999</c:v>
                </c:pt>
                <c:pt idx="8">
                  <c:v>143.5</c:v>
                </c:pt>
                <c:pt idx="9" formatCode="0.0">
                  <c:v>144.536</c:v>
                </c:pt>
                <c:pt idx="10" formatCode="0.0">
                  <c:v>144.56400000000002</c:v>
                </c:pt>
                <c:pt idx="11" formatCode="0.0">
                  <c:v>144.56400000000002</c:v>
                </c:pt>
                <c:pt idx="12" formatCode="0.0">
                  <c:v>144.56400000000002</c:v>
                </c:pt>
                <c:pt idx="13" formatCode="0.0">
                  <c:v>144.56400000000002</c:v>
                </c:pt>
                <c:pt idx="14" formatCode="0.0">
                  <c:v>144.56400000000002</c:v>
                </c:pt>
                <c:pt idx="15" formatCode="0.0">
                  <c:v>144.56400000000002</c:v>
                </c:pt>
                <c:pt idx="16" formatCode="0.0">
                  <c:v>144.46907999999999</c:v>
                </c:pt>
                <c:pt idx="17" formatCode="0.0">
                  <c:v>144.37463460000001</c:v>
                </c:pt>
                <c:pt idx="18" formatCode="0.0">
                  <c:v>144.28066142699998</c:v>
                </c:pt>
                <c:pt idx="19" formatCode="0.0">
                  <c:v>144.18715811986499</c:v>
                </c:pt>
                <c:pt idx="20" formatCode="0.0">
                  <c:v>144.09412232926567</c:v>
                </c:pt>
                <c:pt idx="21" formatCode="0.0">
                  <c:v>142.653181105973</c:v>
                </c:pt>
                <c:pt idx="22" formatCode="0.0">
                  <c:v>141.22664929491333</c:v>
                </c:pt>
                <c:pt idx="23" formatCode="0.0">
                  <c:v>139.81438280196414</c:v>
                </c:pt>
                <c:pt idx="24" formatCode="0.0">
                  <c:v>138.41623897394453</c:v>
                </c:pt>
                <c:pt idx="25" formatCode="0.0">
                  <c:v>137.03207658420504</c:v>
                </c:pt>
                <c:pt idx="26" formatCode="0.0">
                  <c:v>135.66175581836302</c:v>
                </c:pt>
                <c:pt idx="27" formatCode="0.0">
                  <c:v>134.30513826017938</c:v>
                </c:pt>
                <c:pt idx="28" formatCode="0.0">
                  <c:v>132.96208687757758</c:v>
                </c:pt>
                <c:pt idx="29" formatCode="0.0">
                  <c:v>131.63246600880183</c:v>
                </c:pt>
                <c:pt idx="30" formatCode="0.0">
                  <c:v>130.31614134871381</c:v>
                </c:pt>
                <c:pt idx="31" formatCode="0.0">
                  <c:v>128.36139922848307</c:v>
                </c:pt>
                <c:pt idx="32" formatCode="0.0">
                  <c:v>126.43597824005585</c:v>
                </c:pt>
                <c:pt idx="33" formatCode="0.0">
                  <c:v>124.53943856645499</c:v>
                </c:pt>
                <c:pt idx="34" formatCode="0.0">
                  <c:v>122.67134698795817</c:v>
                </c:pt>
                <c:pt idx="35" formatCode="0.0">
                  <c:v>120.83127678313879</c:v>
                </c:pt>
                <c:pt idx="36" formatCode="0.0">
                  <c:v>119.01880763139172</c:v>
                </c:pt>
                <c:pt idx="37" formatCode="0.0">
                  <c:v>117.23352551692082</c:v>
                </c:pt>
                <c:pt idx="38" formatCode="0.0">
                  <c:v>115.47502263416702</c:v>
                </c:pt>
                <c:pt idx="39" formatCode="0.0">
                  <c:v>113.74289729465454</c:v>
                </c:pt>
                <c:pt idx="40" formatCode="0.0">
                  <c:v>112.03675383523471</c:v>
                </c:pt>
              </c:numCache>
            </c:numRef>
          </c:val>
          <c:extLst>
            <c:ext xmlns:c16="http://schemas.microsoft.com/office/drawing/2014/chart" uri="{C3380CC4-5D6E-409C-BE32-E72D297353CC}">
              <c16:uniqueId val="{00000004-1723-4496-87A8-5EF18A1FB5FE}"/>
            </c:ext>
          </c:extLst>
        </c:ser>
        <c:ser>
          <c:idx val="2"/>
          <c:order val="2"/>
          <c:tx>
            <c:strRef>
              <c:f>'GHG emissions'!$BC$1</c:f>
              <c:strCache>
                <c:ptCount val="1"/>
                <c:pt idx="0">
                  <c:v>Beef cattle managed manure CH4, CO2e MMT</c:v>
                </c:pt>
              </c:strCache>
            </c:strRef>
          </c:tx>
          <c:spPr>
            <a:solidFill>
              <a:schemeClr val="accent3"/>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emissions'!$BC$22:$BC$62</c:f>
              <c:numCache>
                <c:formatCode>General</c:formatCode>
                <c:ptCount val="41"/>
                <c:pt idx="0">
                  <c:v>3.6960000000000002</c:v>
                </c:pt>
                <c:pt idx="1">
                  <c:v>3.6680000000000001</c:v>
                </c:pt>
                <c:pt idx="2">
                  <c:v>3.5840000000000001</c:v>
                </c:pt>
                <c:pt idx="3">
                  <c:v>3.4159999999999999</c:v>
                </c:pt>
                <c:pt idx="4">
                  <c:v>3.36</c:v>
                </c:pt>
                <c:pt idx="5">
                  <c:v>3.528</c:v>
                </c:pt>
                <c:pt idx="6">
                  <c:v>3.6960000000000002</c:v>
                </c:pt>
                <c:pt idx="7">
                  <c:v>3.8080000000000003</c:v>
                </c:pt>
                <c:pt idx="8">
                  <c:v>3.7800000000000002</c:v>
                </c:pt>
                <c:pt idx="9">
                  <c:v>3.8080000000000003</c:v>
                </c:pt>
                <c:pt idx="10">
                  <c:v>3.7800000000000002</c:v>
                </c:pt>
                <c:pt idx="11">
                  <c:v>3.7800000000000002</c:v>
                </c:pt>
                <c:pt idx="12">
                  <c:v>3.7800000000000002</c:v>
                </c:pt>
                <c:pt idx="13">
                  <c:v>3.7800000000000002</c:v>
                </c:pt>
                <c:pt idx="14">
                  <c:v>3.7800000000000002</c:v>
                </c:pt>
                <c:pt idx="15">
                  <c:v>3.7800000000000002</c:v>
                </c:pt>
                <c:pt idx="16">
                  <c:v>3.7800000000000002</c:v>
                </c:pt>
                <c:pt idx="17">
                  <c:v>3.7800000000000002</c:v>
                </c:pt>
                <c:pt idx="18">
                  <c:v>3.7800000000000002</c:v>
                </c:pt>
                <c:pt idx="19">
                  <c:v>3.7800000000000002</c:v>
                </c:pt>
                <c:pt idx="20">
                  <c:v>3.7800000000000002</c:v>
                </c:pt>
                <c:pt idx="21">
                  <c:v>3.7800000000000002</c:v>
                </c:pt>
                <c:pt idx="22">
                  <c:v>3.7800000000000002</c:v>
                </c:pt>
                <c:pt idx="23">
                  <c:v>3.7800000000000002</c:v>
                </c:pt>
                <c:pt idx="24">
                  <c:v>3.7800000000000002</c:v>
                </c:pt>
                <c:pt idx="25">
                  <c:v>3.7800000000000002</c:v>
                </c:pt>
                <c:pt idx="26">
                  <c:v>3.7800000000000002</c:v>
                </c:pt>
                <c:pt idx="27">
                  <c:v>3.7800000000000002</c:v>
                </c:pt>
                <c:pt idx="28">
                  <c:v>3.7800000000000002</c:v>
                </c:pt>
                <c:pt idx="29">
                  <c:v>3.7800000000000002</c:v>
                </c:pt>
                <c:pt idx="30">
                  <c:v>3.7800000000000002</c:v>
                </c:pt>
                <c:pt idx="31">
                  <c:v>3.7800000000000002</c:v>
                </c:pt>
                <c:pt idx="32">
                  <c:v>3.7800000000000002</c:v>
                </c:pt>
                <c:pt idx="33">
                  <c:v>3.7800000000000002</c:v>
                </c:pt>
                <c:pt idx="34">
                  <c:v>3.7800000000000002</c:v>
                </c:pt>
                <c:pt idx="35">
                  <c:v>3.7800000000000002</c:v>
                </c:pt>
                <c:pt idx="36">
                  <c:v>3.7800000000000002</c:v>
                </c:pt>
                <c:pt idx="37">
                  <c:v>3.7800000000000002</c:v>
                </c:pt>
                <c:pt idx="38">
                  <c:v>3.7800000000000002</c:v>
                </c:pt>
                <c:pt idx="39">
                  <c:v>3.7800000000000002</c:v>
                </c:pt>
                <c:pt idx="40">
                  <c:v>3.7800000000000002</c:v>
                </c:pt>
              </c:numCache>
            </c:numRef>
          </c:val>
          <c:extLst>
            <c:ext xmlns:c16="http://schemas.microsoft.com/office/drawing/2014/chart" uri="{C3380CC4-5D6E-409C-BE32-E72D297353CC}">
              <c16:uniqueId val="{00000003-1723-4496-87A8-5EF18A1FB5FE}"/>
            </c:ext>
          </c:extLst>
        </c:ser>
        <c:ser>
          <c:idx val="1"/>
          <c:order val="3"/>
          <c:tx>
            <c:strRef>
              <c:f>'GHG emissions'!$BT$1</c:f>
              <c:strCache>
                <c:ptCount val="1"/>
                <c:pt idx="0">
                  <c:v>Beef cattle manure nitrous oxide, MMT CO2we</c:v>
                </c:pt>
              </c:strCache>
            </c:strRef>
          </c:tx>
          <c:spPr>
            <a:solidFill>
              <a:schemeClr val="accent4"/>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emissions'!$BT$22:$BT$62</c:f>
              <c:numCache>
                <c:formatCode>General</c:formatCode>
                <c:ptCount val="41"/>
                <c:pt idx="0">
                  <c:v>6.7045000000000003</c:v>
                </c:pt>
                <c:pt idx="1">
                  <c:v>6.8635000000000002</c:v>
                </c:pt>
                <c:pt idx="2">
                  <c:v>6.8369999999999997</c:v>
                </c:pt>
                <c:pt idx="3">
                  <c:v>6.89</c:v>
                </c:pt>
                <c:pt idx="4">
                  <c:v>6.89</c:v>
                </c:pt>
                <c:pt idx="5">
                  <c:v>6.8369999999999997</c:v>
                </c:pt>
                <c:pt idx="6">
                  <c:v>7.2080000000000002</c:v>
                </c:pt>
                <c:pt idx="7">
                  <c:v>7.6055000000000001</c:v>
                </c:pt>
                <c:pt idx="8">
                  <c:v>8.2149999999999999</c:v>
                </c:pt>
                <c:pt idx="9">
                  <c:v>8.3475000000000001</c:v>
                </c:pt>
                <c:pt idx="10">
                  <c:v>8.3475000000000001</c:v>
                </c:pt>
                <c:pt idx="11">
                  <c:v>8.3475000000000001</c:v>
                </c:pt>
                <c:pt idx="12">
                  <c:v>8.3475000000000001</c:v>
                </c:pt>
                <c:pt idx="13">
                  <c:v>8.3475000000000001</c:v>
                </c:pt>
                <c:pt idx="14">
                  <c:v>8.3475000000000001</c:v>
                </c:pt>
                <c:pt idx="15">
                  <c:v>8.3475000000000001</c:v>
                </c:pt>
                <c:pt idx="16">
                  <c:v>8.3475000000000001</c:v>
                </c:pt>
                <c:pt idx="17">
                  <c:v>8.3475000000000001</c:v>
                </c:pt>
                <c:pt idx="18">
                  <c:v>8.3475000000000001</c:v>
                </c:pt>
                <c:pt idx="19">
                  <c:v>8.3475000000000001</c:v>
                </c:pt>
                <c:pt idx="20">
                  <c:v>8.3475000000000001</c:v>
                </c:pt>
                <c:pt idx="21">
                  <c:v>8.3475000000000001</c:v>
                </c:pt>
                <c:pt idx="22">
                  <c:v>8.3475000000000001</c:v>
                </c:pt>
                <c:pt idx="23">
                  <c:v>8.3475000000000001</c:v>
                </c:pt>
                <c:pt idx="24">
                  <c:v>8.3475000000000001</c:v>
                </c:pt>
                <c:pt idx="25">
                  <c:v>8.3475000000000001</c:v>
                </c:pt>
                <c:pt idx="26">
                  <c:v>8.3475000000000001</c:v>
                </c:pt>
                <c:pt idx="27">
                  <c:v>8.3475000000000001</c:v>
                </c:pt>
                <c:pt idx="28">
                  <c:v>8.3475000000000001</c:v>
                </c:pt>
                <c:pt idx="29">
                  <c:v>8.3475000000000001</c:v>
                </c:pt>
                <c:pt idx="30">
                  <c:v>8.3475000000000001</c:v>
                </c:pt>
                <c:pt idx="31">
                  <c:v>8.3475000000000001</c:v>
                </c:pt>
                <c:pt idx="32">
                  <c:v>8.3475000000000001</c:v>
                </c:pt>
                <c:pt idx="33">
                  <c:v>8.3475000000000001</c:v>
                </c:pt>
                <c:pt idx="34">
                  <c:v>8.3475000000000001</c:v>
                </c:pt>
                <c:pt idx="35">
                  <c:v>8.3475000000000001</c:v>
                </c:pt>
                <c:pt idx="36">
                  <c:v>8.3475000000000001</c:v>
                </c:pt>
                <c:pt idx="37">
                  <c:v>8.3475000000000001</c:v>
                </c:pt>
                <c:pt idx="38">
                  <c:v>8.3475000000000001</c:v>
                </c:pt>
                <c:pt idx="39">
                  <c:v>8.3475000000000001</c:v>
                </c:pt>
                <c:pt idx="40">
                  <c:v>8.3475000000000001</c:v>
                </c:pt>
              </c:numCache>
            </c:numRef>
          </c:val>
          <c:extLst>
            <c:ext xmlns:c16="http://schemas.microsoft.com/office/drawing/2014/chart" uri="{C3380CC4-5D6E-409C-BE32-E72D297353CC}">
              <c16:uniqueId val="{00000002-1723-4496-87A8-5EF18A1FB5FE}"/>
            </c:ext>
          </c:extLst>
        </c:ser>
        <c:dLbls>
          <c:showLegendKey val="0"/>
          <c:showVal val="0"/>
          <c:showCatName val="0"/>
          <c:showSerName val="0"/>
          <c:showPercent val="0"/>
          <c:showBubbleSize val="0"/>
        </c:dLbls>
        <c:axId val="1009165512"/>
        <c:axId val="1009164856"/>
      </c:areaChart>
      <c:catAx>
        <c:axId val="1009165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164856"/>
        <c:crosses val="autoZero"/>
        <c:auto val="1"/>
        <c:lblAlgn val="ctr"/>
        <c:lblOffset val="100"/>
        <c:noMultiLvlLbl val="0"/>
      </c:catAx>
      <c:valAx>
        <c:axId val="1009164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1655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Dairy direct</a:t>
            </a:r>
            <a:r>
              <a:rPr lang="en-US" baseline="0"/>
              <a:t> CO2e emissions, MMT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Enteric CH4</c:v>
          </c:tx>
          <c:spPr>
            <a:solidFill>
              <a:schemeClr val="accent1"/>
            </a:solidFill>
            <a:ln>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emissions'!$AB$22:$AB$31</c:f>
              <c:numCache>
                <c:formatCode>0.0</c:formatCode>
                <c:ptCount val="10"/>
                <c:pt idx="0">
                  <c:v>45.555999999999997</c:v>
                </c:pt>
                <c:pt idx="1">
                  <c:v>46.06</c:v>
                </c:pt>
                <c:pt idx="2">
                  <c:v>46.76</c:v>
                </c:pt>
                <c:pt idx="3">
                  <c:v>46.591999999999999</c:v>
                </c:pt>
                <c:pt idx="4">
                  <c:v>47.012</c:v>
                </c:pt>
                <c:pt idx="5">
                  <c:v>47.768000000000001</c:v>
                </c:pt>
                <c:pt idx="6">
                  <c:v>48.216000000000001</c:v>
                </c:pt>
                <c:pt idx="7">
                  <c:v>48.44</c:v>
                </c:pt>
                <c:pt idx="8">
                  <c:v>48.832000000000001</c:v>
                </c:pt>
                <c:pt idx="9">
                  <c:v>48.412000000000006</c:v>
                </c:pt>
              </c:numCache>
            </c:numRef>
          </c:val>
          <c:extLst>
            <c:ext xmlns:c16="http://schemas.microsoft.com/office/drawing/2014/chart" uri="{C3380CC4-5D6E-409C-BE32-E72D297353CC}">
              <c16:uniqueId val="{00000000-573B-4BA0-94E1-D32679B55F7C}"/>
            </c:ext>
          </c:extLst>
        </c:ser>
        <c:ser>
          <c:idx val="1"/>
          <c:order val="1"/>
          <c:tx>
            <c:v>Manure CH4</c:v>
          </c:tx>
          <c:spPr>
            <a:solidFill>
              <a:schemeClr val="accent2"/>
            </a:solidFill>
            <a:ln w="25400">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emissions'!$AT$22:$AT$31</c:f>
              <c:numCache>
                <c:formatCode>General</c:formatCode>
                <c:ptCount val="10"/>
                <c:pt idx="0">
                  <c:v>31.472000000000001</c:v>
                </c:pt>
                <c:pt idx="1">
                  <c:v>32.031999999999996</c:v>
                </c:pt>
                <c:pt idx="2">
                  <c:v>33.263999999999996</c:v>
                </c:pt>
                <c:pt idx="3">
                  <c:v>32.676000000000002</c:v>
                </c:pt>
                <c:pt idx="4">
                  <c:v>33.32</c:v>
                </c:pt>
                <c:pt idx="5">
                  <c:v>34.524000000000001</c:v>
                </c:pt>
                <c:pt idx="6">
                  <c:v>35.251999999999995</c:v>
                </c:pt>
                <c:pt idx="7">
                  <c:v>35.56</c:v>
                </c:pt>
                <c:pt idx="8">
                  <c:v>36.176000000000002</c:v>
                </c:pt>
                <c:pt idx="9">
                  <c:v>35.867999999999995</c:v>
                </c:pt>
              </c:numCache>
            </c:numRef>
          </c:val>
          <c:extLst>
            <c:ext xmlns:c16="http://schemas.microsoft.com/office/drawing/2014/chart" uri="{C3380CC4-5D6E-409C-BE32-E72D297353CC}">
              <c16:uniqueId val="{00000002-573B-4BA0-94E1-D32679B55F7C}"/>
            </c:ext>
          </c:extLst>
        </c:ser>
        <c:ser>
          <c:idx val="2"/>
          <c:order val="2"/>
          <c:tx>
            <c:v>Manure N2O</c:v>
          </c:tx>
          <c:spPr>
            <a:solidFill>
              <a:schemeClr val="accent3"/>
            </a:solidFill>
            <a:ln w="25400">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emissions'!$BH$22:$BH$31</c:f>
              <c:numCache>
                <c:formatCode>General</c:formatCode>
                <c:ptCount val="10"/>
                <c:pt idx="0">
                  <c:v>5.0350000000000001</c:v>
                </c:pt>
                <c:pt idx="1">
                  <c:v>5.1145000000000005</c:v>
                </c:pt>
                <c:pt idx="2">
                  <c:v>5.1675000000000004</c:v>
                </c:pt>
                <c:pt idx="3">
                  <c:v>5.1409999999999991</c:v>
                </c:pt>
                <c:pt idx="4">
                  <c:v>5.1940000000000008</c:v>
                </c:pt>
                <c:pt idx="5">
                  <c:v>5.3265000000000002</c:v>
                </c:pt>
                <c:pt idx="6">
                  <c:v>5.3795000000000002</c:v>
                </c:pt>
                <c:pt idx="7">
                  <c:v>5.4059999999999997</c:v>
                </c:pt>
                <c:pt idx="8">
                  <c:v>5.4589999999999996</c:v>
                </c:pt>
                <c:pt idx="9">
                  <c:v>5.3795000000000002</c:v>
                </c:pt>
              </c:numCache>
            </c:numRef>
          </c:val>
          <c:extLst>
            <c:ext xmlns:c16="http://schemas.microsoft.com/office/drawing/2014/chart" uri="{C3380CC4-5D6E-409C-BE32-E72D297353CC}">
              <c16:uniqueId val="{00000003-573B-4BA0-94E1-D32679B55F7C}"/>
            </c:ext>
          </c:extLst>
        </c:ser>
        <c:dLbls>
          <c:showLegendKey val="0"/>
          <c:showVal val="0"/>
          <c:showCatName val="0"/>
          <c:showSerName val="0"/>
          <c:showPercent val="0"/>
          <c:showBubbleSize val="0"/>
        </c:dLbls>
        <c:axId val="38186303"/>
        <c:axId val="38185319"/>
      </c:areaChart>
      <c:catAx>
        <c:axId val="3818630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85319"/>
        <c:crosses val="autoZero"/>
        <c:auto val="1"/>
        <c:lblAlgn val="ctr"/>
        <c:lblOffset val="100"/>
        <c:noMultiLvlLbl val="0"/>
      </c:catAx>
      <c:valAx>
        <c:axId val="381853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8630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Dairy</a:t>
            </a:r>
            <a:r>
              <a:rPr lang="en-US" baseline="0"/>
              <a:t> direct CO2we emissions, MMT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Enteric CH4</c:v>
          </c:tx>
          <c:spPr>
            <a:solidFill>
              <a:schemeClr val="accent1"/>
            </a:solidFill>
            <a:ln>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emissions'!$BV$22:$BV$31</c:f>
              <c:numCache>
                <c:formatCode>0.000</c:formatCode>
                <c:ptCount val="10"/>
                <c:pt idx="0">
                  <c:v>19.06268</c:v>
                </c:pt>
                <c:pt idx="1">
                  <c:v>23.130800000000022</c:v>
                </c:pt>
                <c:pt idx="2">
                  <c:v>28.800800000000038</c:v>
                </c:pt>
                <c:pt idx="3">
                  <c:v>29.467760000000027</c:v>
                </c:pt>
                <c:pt idx="4">
                  <c:v>34.226360000000028</c:v>
                </c:pt>
                <c:pt idx="5">
                  <c:v>38.127039999999994</c:v>
                </c:pt>
                <c:pt idx="6">
                  <c:v>42.179480000000012</c:v>
                </c:pt>
                <c:pt idx="7">
                  <c:v>43.908199999999994</c:v>
                </c:pt>
                <c:pt idx="8">
                  <c:v>47.11196000000001</c:v>
                </c:pt>
                <c:pt idx="9">
                  <c:v>40.449360000000013</c:v>
                </c:pt>
              </c:numCache>
            </c:numRef>
          </c:val>
          <c:extLst>
            <c:ext xmlns:c16="http://schemas.microsoft.com/office/drawing/2014/chart" uri="{C3380CC4-5D6E-409C-BE32-E72D297353CC}">
              <c16:uniqueId val="{00000000-2366-49AD-9356-6BEA4B454C9A}"/>
            </c:ext>
          </c:extLst>
        </c:ser>
        <c:ser>
          <c:idx val="1"/>
          <c:order val="1"/>
          <c:tx>
            <c:v>Manure CH4</c:v>
          </c:tx>
          <c:spPr>
            <a:solidFill>
              <a:schemeClr val="accent2"/>
            </a:solidFill>
            <a:ln w="25400">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emissions'!$BW$22:$BW$31</c:f>
              <c:numCache>
                <c:formatCode>0.000</c:formatCode>
                <c:ptCount val="10"/>
                <c:pt idx="0">
                  <c:v>72.477160000000012</c:v>
                </c:pt>
                <c:pt idx="1">
                  <c:v>72.87196000000003</c:v>
                </c:pt>
                <c:pt idx="2">
                  <c:v>80.356920000000017</c:v>
                </c:pt>
                <c:pt idx="3">
                  <c:v>74.956279999999992</c:v>
                </c:pt>
                <c:pt idx="4">
                  <c:v>72.99460000000002</c:v>
                </c:pt>
                <c:pt idx="5">
                  <c:v>74.997720000000001</c:v>
                </c:pt>
                <c:pt idx="6">
                  <c:v>76.986560000000011</c:v>
                </c:pt>
                <c:pt idx="7">
                  <c:v>74.811800000000005</c:v>
                </c:pt>
                <c:pt idx="8">
                  <c:v>73.318279999999987</c:v>
                </c:pt>
                <c:pt idx="9">
                  <c:v>65.021040000000013</c:v>
                </c:pt>
              </c:numCache>
            </c:numRef>
          </c:val>
          <c:extLst>
            <c:ext xmlns:c16="http://schemas.microsoft.com/office/drawing/2014/chart" uri="{C3380CC4-5D6E-409C-BE32-E72D297353CC}">
              <c16:uniqueId val="{00000002-2366-49AD-9356-6BEA4B454C9A}"/>
            </c:ext>
          </c:extLst>
        </c:ser>
        <c:ser>
          <c:idx val="2"/>
          <c:order val="2"/>
          <c:tx>
            <c:v>Manure N2O</c:v>
          </c:tx>
          <c:spPr>
            <a:solidFill>
              <a:schemeClr val="accent3"/>
            </a:solidFill>
            <a:ln w="25400">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emissions'!$BX$22:$BX$31</c:f>
              <c:numCache>
                <c:formatCode>General</c:formatCode>
                <c:ptCount val="10"/>
                <c:pt idx="0">
                  <c:v>5.0350000000000001</c:v>
                </c:pt>
                <c:pt idx="1">
                  <c:v>5.1144999999999996</c:v>
                </c:pt>
                <c:pt idx="2">
                  <c:v>5.1675000000000004</c:v>
                </c:pt>
                <c:pt idx="3">
                  <c:v>5.141</c:v>
                </c:pt>
                <c:pt idx="4">
                  <c:v>5.194</c:v>
                </c:pt>
                <c:pt idx="5">
                  <c:v>5.3265000000000002</c:v>
                </c:pt>
                <c:pt idx="6">
                  <c:v>5.3795000000000002</c:v>
                </c:pt>
                <c:pt idx="7">
                  <c:v>5.4059999999999997</c:v>
                </c:pt>
                <c:pt idx="8">
                  <c:v>5.4589999999999996</c:v>
                </c:pt>
                <c:pt idx="9">
                  <c:v>5.3795000000000002</c:v>
                </c:pt>
              </c:numCache>
            </c:numRef>
          </c:val>
          <c:extLst>
            <c:ext xmlns:c16="http://schemas.microsoft.com/office/drawing/2014/chart" uri="{C3380CC4-5D6E-409C-BE32-E72D297353CC}">
              <c16:uniqueId val="{00000003-2366-49AD-9356-6BEA4B454C9A}"/>
            </c:ext>
          </c:extLst>
        </c:ser>
        <c:dLbls>
          <c:showLegendKey val="0"/>
          <c:showVal val="0"/>
          <c:showCatName val="0"/>
          <c:showSerName val="0"/>
          <c:showPercent val="0"/>
          <c:showBubbleSize val="0"/>
        </c:dLbls>
        <c:axId val="1504666520"/>
        <c:axId val="1504658976"/>
      </c:areaChart>
      <c:catAx>
        <c:axId val="1504666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658976"/>
        <c:crosses val="autoZero"/>
        <c:auto val="1"/>
        <c:lblAlgn val="ctr"/>
        <c:lblOffset val="100"/>
        <c:noMultiLvlLbl val="0"/>
      </c:catAx>
      <c:valAx>
        <c:axId val="150465897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6665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Dairy direct CO2e emissions, MMT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'GHG emissions'!$AB$1</c:f>
              <c:strCache>
                <c:ptCount val="1"/>
                <c:pt idx="0">
                  <c:v>Dairy cattle enteric CH4, CO2e MMT</c:v>
                </c:pt>
              </c:strCache>
            </c:strRef>
          </c:tx>
          <c:spPr>
            <a:solidFill>
              <a:schemeClr val="accent1"/>
            </a:solidFill>
            <a:ln>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emissions'!$AB$2:$AB$31</c:f>
              <c:numCache>
                <c:formatCode>0.0</c:formatCode>
                <c:ptCount val="30"/>
                <c:pt idx="0">
                  <c:v>44.072000000000003</c:v>
                </c:pt>
                <c:pt idx="1">
                  <c:v>43.652000000000001</c:v>
                </c:pt>
                <c:pt idx="2">
                  <c:v>43.064</c:v>
                </c:pt>
                <c:pt idx="3">
                  <c:v>42.728000000000002</c:v>
                </c:pt>
                <c:pt idx="4">
                  <c:v>42.055999999999997</c:v>
                </c:pt>
                <c:pt idx="5">
                  <c:v>41.944000000000003</c:v>
                </c:pt>
                <c:pt idx="6">
                  <c:v>41.468000000000004</c:v>
                </c:pt>
                <c:pt idx="7">
                  <c:v>41.300000000000004</c:v>
                </c:pt>
                <c:pt idx="8">
                  <c:v>40.963999999999999</c:v>
                </c:pt>
                <c:pt idx="9">
                  <c:v>42.083999999999996</c:v>
                </c:pt>
                <c:pt idx="10">
                  <c:v>42.531999999999996</c:v>
                </c:pt>
                <c:pt idx="11">
                  <c:v>42.251999999999995</c:v>
                </c:pt>
                <c:pt idx="12">
                  <c:v>42.335999999999999</c:v>
                </c:pt>
                <c:pt idx="13">
                  <c:v>42.56</c:v>
                </c:pt>
                <c:pt idx="14">
                  <c:v>41.328000000000003</c:v>
                </c:pt>
                <c:pt idx="15">
                  <c:v>42.083999999999996</c:v>
                </c:pt>
                <c:pt idx="16">
                  <c:v>42.951999999999998</c:v>
                </c:pt>
                <c:pt idx="17">
                  <c:v>44.828000000000003</c:v>
                </c:pt>
                <c:pt idx="18">
                  <c:v>45.444000000000003</c:v>
                </c:pt>
                <c:pt idx="19">
                  <c:v>45.892000000000003</c:v>
                </c:pt>
                <c:pt idx="20">
                  <c:v>45.555999999999997</c:v>
                </c:pt>
                <c:pt idx="21">
                  <c:v>46.06</c:v>
                </c:pt>
                <c:pt idx="22">
                  <c:v>46.76</c:v>
                </c:pt>
                <c:pt idx="23">
                  <c:v>46.591999999999999</c:v>
                </c:pt>
                <c:pt idx="24">
                  <c:v>47.012</c:v>
                </c:pt>
                <c:pt idx="25">
                  <c:v>47.768000000000001</c:v>
                </c:pt>
                <c:pt idx="26">
                  <c:v>48.216000000000001</c:v>
                </c:pt>
                <c:pt idx="27">
                  <c:v>48.44</c:v>
                </c:pt>
                <c:pt idx="28">
                  <c:v>48.832000000000001</c:v>
                </c:pt>
                <c:pt idx="29">
                  <c:v>48.412000000000006</c:v>
                </c:pt>
              </c:numCache>
            </c:numRef>
          </c:val>
          <c:extLst>
            <c:ext xmlns:c16="http://schemas.microsoft.com/office/drawing/2014/chart" uri="{C3380CC4-5D6E-409C-BE32-E72D297353CC}">
              <c16:uniqueId val="{00000000-1D07-4F9A-BB76-2654842D2E44}"/>
            </c:ext>
          </c:extLst>
        </c:ser>
        <c:ser>
          <c:idx val="1"/>
          <c:order val="1"/>
          <c:tx>
            <c:strRef>
              <c:f>'GHG emissions'!$AT$1</c:f>
              <c:strCache>
                <c:ptCount val="1"/>
                <c:pt idx="0">
                  <c:v>Dairy cattle managed manure CH4, CO2e MMT</c:v>
                </c:pt>
              </c:strCache>
            </c:strRef>
          </c:tx>
          <c:spPr>
            <a:solidFill>
              <a:schemeClr val="accent2"/>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emissions'!$AT$2:$AT$31</c:f>
              <c:numCache>
                <c:formatCode>General</c:formatCode>
                <c:ptCount val="30"/>
                <c:pt idx="0">
                  <c:v>16.491999999999997</c:v>
                </c:pt>
                <c:pt idx="1">
                  <c:v>16.995999999999999</c:v>
                </c:pt>
                <c:pt idx="2">
                  <c:v>16.547999999999998</c:v>
                </c:pt>
                <c:pt idx="3">
                  <c:v>17.192</c:v>
                </c:pt>
                <c:pt idx="4">
                  <c:v>18.34</c:v>
                </c:pt>
                <c:pt idx="5">
                  <c:v>19.152000000000001</c:v>
                </c:pt>
                <c:pt idx="6">
                  <c:v>19.459999999999997</c:v>
                </c:pt>
                <c:pt idx="7">
                  <c:v>20.3</c:v>
                </c:pt>
                <c:pt idx="8">
                  <c:v>21.308</c:v>
                </c:pt>
                <c:pt idx="9">
                  <c:v>22.931999999999999</c:v>
                </c:pt>
                <c:pt idx="10">
                  <c:v>23.884</c:v>
                </c:pt>
                <c:pt idx="11">
                  <c:v>25.283999999999999</c:v>
                </c:pt>
                <c:pt idx="12">
                  <c:v>25.844000000000001</c:v>
                </c:pt>
                <c:pt idx="13">
                  <c:v>26.963999999999999</c:v>
                </c:pt>
                <c:pt idx="14">
                  <c:v>25.536000000000001</c:v>
                </c:pt>
                <c:pt idx="15">
                  <c:v>27.16</c:v>
                </c:pt>
                <c:pt idx="16">
                  <c:v>27.72</c:v>
                </c:pt>
                <c:pt idx="17">
                  <c:v>30.939999999999998</c:v>
                </c:pt>
                <c:pt idx="18">
                  <c:v>30.968000000000004</c:v>
                </c:pt>
                <c:pt idx="19">
                  <c:v>31.136000000000003</c:v>
                </c:pt>
                <c:pt idx="20">
                  <c:v>31.472000000000001</c:v>
                </c:pt>
                <c:pt idx="21">
                  <c:v>32.031999999999996</c:v>
                </c:pt>
                <c:pt idx="22">
                  <c:v>33.263999999999996</c:v>
                </c:pt>
                <c:pt idx="23">
                  <c:v>32.676000000000002</c:v>
                </c:pt>
                <c:pt idx="24">
                  <c:v>33.32</c:v>
                </c:pt>
                <c:pt idx="25">
                  <c:v>34.524000000000001</c:v>
                </c:pt>
                <c:pt idx="26">
                  <c:v>35.251999999999995</c:v>
                </c:pt>
                <c:pt idx="27">
                  <c:v>35.56</c:v>
                </c:pt>
                <c:pt idx="28">
                  <c:v>36.176000000000002</c:v>
                </c:pt>
                <c:pt idx="29">
                  <c:v>35.867999999999995</c:v>
                </c:pt>
              </c:numCache>
            </c:numRef>
          </c:val>
          <c:extLst>
            <c:ext xmlns:c16="http://schemas.microsoft.com/office/drawing/2014/chart" uri="{C3380CC4-5D6E-409C-BE32-E72D297353CC}">
              <c16:uniqueId val="{00000002-1D07-4F9A-BB76-2654842D2E44}"/>
            </c:ext>
          </c:extLst>
        </c:ser>
        <c:ser>
          <c:idx val="2"/>
          <c:order val="2"/>
          <c:tx>
            <c:strRef>
              <c:f>'GHG emissions'!$BH$1</c:f>
              <c:strCache>
                <c:ptCount val="1"/>
                <c:pt idx="0">
                  <c:v>Dairy cattle managed manure N2O, CO2e MMT</c:v>
                </c:pt>
              </c:strCache>
            </c:strRef>
          </c:tx>
          <c:spPr>
            <a:solidFill>
              <a:schemeClr val="accent3"/>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emissions'!$BH$2:$BH$31</c:f>
              <c:numCache>
                <c:formatCode>General</c:formatCode>
                <c:ptCount val="30"/>
                <c:pt idx="0">
                  <c:v>4.6905000000000001</c:v>
                </c:pt>
                <c:pt idx="1">
                  <c:v>4.6640000000000006</c:v>
                </c:pt>
                <c:pt idx="2">
                  <c:v>4.6905000000000001</c:v>
                </c:pt>
                <c:pt idx="3">
                  <c:v>4.7435</c:v>
                </c:pt>
                <c:pt idx="4">
                  <c:v>4.7699999999999996</c:v>
                </c:pt>
                <c:pt idx="5">
                  <c:v>4.8230000000000004</c:v>
                </c:pt>
                <c:pt idx="6">
                  <c:v>4.8494999999999999</c:v>
                </c:pt>
                <c:pt idx="7">
                  <c:v>4.8494999999999999</c:v>
                </c:pt>
                <c:pt idx="8">
                  <c:v>4.8760000000000003</c:v>
                </c:pt>
                <c:pt idx="9">
                  <c:v>4.7435</c:v>
                </c:pt>
                <c:pt idx="10">
                  <c:v>4.7965</c:v>
                </c:pt>
                <c:pt idx="11">
                  <c:v>4.8760000000000003</c:v>
                </c:pt>
                <c:pt idx="12">
                  <c:v>4.9024999999999999</c:v>
                </c:pt>
                <c:pt idx="13">
                  <c:v>4.9820000000000002</c:v>
                </c:pt>
                <c:pt idx="14">
                  <c:v>4.7435</c:v>
                </c:pt>
                <c:pt idx="15">
                  <c:v>4.8760000000000003</c:v>
                </c:pt>
                <c:pt idx="16">
                  <c:v>5.0350000000000001</c:v>
                </c:pt>
                <c:pt idx="17">
                  <c:v>5.0350000000000001</c:v>
                </c:pt>
                <c:pt idx="18">
                  <c:v>4.9554999999999998</c:v>
                </c:pt>
                <c:pt idx="19">
                  <c:v>5.0350000000000001</c:v>
                </c:pt>
                <c:pt idx="20">
                  <c:v>5.0350000000000001</c:v>
                </c:pt>
                <c:pt idx="21">
                  <c:v>5.1145000000000005</c:v>
                </c:pt>
                <c:pt idx="22">
                  <c:v>5.1675000000000004</c:v>
                </c:pt>
                <c:pt idx="23">
                  <c:v>5.1409999999999991</c:v>
                </c:pt>
                <c:pt idx="24">
                  <c:v>5.1940000000000008</c:v>
                </c:pt>
                <c:pt idx="25">
                  <c:v>5.3265000000000002</c:v>
                </c:pt>
                <c:pt idx="26">
                  <c:v>5.3795000000000002</c:v>
                </c:pt>
                <c:pt idx="27">
                  <c:v>5.4059999999999997</c:v>
                </c:pt>
                <c:pt idx="28">
                  <c:v>5.4589999999999996</c:v>
                </c:pt>
                <c:pt idx="29">
                  <c:v>5.3795000000000002</c:v>
                </c:pt>
              </c:numCache>
            </c:numRef>
          </c:val>
          <c:extLst>
            <c:ext xmlns:c16="http://schemas.microsoft.com/office/drawing/2014/chart" uri="{C3380CC4-5D6E-409C-BE32-E72D297353CC}">
              <c16:uniqueId val="{00000003-1D07-4F9A-BB76-2654842D2E44}"/>
            </c:ext>
          </c:extLst>
        </c:ser>
        <c:dLbls>
          <c:showLegendKey val="0"/>
          <c:showVal val="0"/>
          <c:showCatName val="0"/>
          <c:showSerName val="0"/>
          <c:showPercent val="0"/>
          <c:showBubbleSize val="0"/>
        </c:dLbls>
        <c:axId val="1509153784"/>
        <c:axId val="1497844376"/>
      </c:areaChart>
      <c:catAx>
        <c:axId val="1509153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844376"/>
        <c:crosses val="autoZero"/>
        <c:auto val="1"/>
        <c:lblAlgn val="ctr"/>
        <c:lblOffset val="100"/>
        <c:noMultiLvlLbl val="0"/>
      </c:catAx>
      <c:valAx>
        <c:axId val="14978443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153784"/>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2020</c:v>
          </c:tx>
          <c:spPr>
            <a:solidFill>
              <a:schemeClr val="accent1"/>
            </a:solidFill>
            <a:ln>
              <a:noFill/>
            </a:ln>
            <a:effectLst/>
          </c:spPr>
          <c:invertIfNegative val="0"/>
          <c:cat>
            <c:strRef>
              <c:f>('GHG emissions'!$CC$1,'GHG emissions'!$BH$1,'GHG emissions'!$AT$1,'GHG emissions'!$AB$1)</c:f>
              <c:strCache>
                <c:ptCount val="4"/>
                <c:pt idx="0">
                  <c:v>Estimated non-direct GHG emissions associated with US dairy cattle production, MMT CO2e</c:v>
                </c:pt>
                <c:pt idx="1">
                  <c:v>Dairy cattle managed manure N2O, CO2e MMT</c:v>
                </c:pt>
                <c:pt idx="2">
                  <c:v>Dairy cattle managed manure CH4, CO2e MMT</c:v>
                </c:pt>
                <c:pt idx="3">
                  <c:v>Dairy cattle enteric CH4, CO2e MMT</c:v>
                </c:pt>
              </c:strCache>
            </c:strRef>
          </c:cat>
          <c:val>
            <c:numRef>
              <c:f>('GHG emissions'!$CC$32,'GHG emissions'!$BH$32,'GHG emissions'!$AT$32,'GHG emissions'!$AB$32)</c:f>
              <c:numCache>
                <c:formatCode>General</c:formatCode>
                <c:ptCount val="4"/>
                <c:pt idx="0" formatCode="0.0000">
                  <c:v>23.621662690168829</c:v>
                </c:pt>
                <c:pt idx="1">
                  <c:v>5.4059999999999997</c:v>
                </c:pt>
                <c:pt idx="2">
                  <c:v>35.725760000000008</c:v>
                </c:pt>
                <c:pt idx="3" formatCode="0.0">
                  <c:v>48.412000000000006</c:v>
                </c:pt>
              </c:numCache>
            </c:numRef>
          </c:val>
          <c:extLst>
            <c:ext xmlns:c16="http://schemas.microsoft.com/office/drawing/2014/chart" uri="{C3380CC4-5D6E-409C-BE32-E72D297353CC}">
              <c16:uniqueId val="{00000000-DA05-4BC7-B6DD-4D3DCC50C363}"/>
            </c:ext>
          </c:extLst>
        </c:ser>
        <c:ser>
          <c:idx val="1"/>
          <c:order val="1"/>
          <c:tx>
            <c:v>2050</c:v>
          </c:tx>
          <c:spPr>
            <a:solidFill>
              <a:schemeClr val="accent2"/>
            </a:solidFill>
            <a:ln>
              <a:noFill/>
            </a:ln>
            <a:effectLst/>
          </c:spPr>
          <c:invertIfNegative val="0"/>
          <c:cat>
            <c:strRef>
              <c:f>('GHG emissions'!$CC$1,'GHG emissions'!$BH$1,'GHG emissions'!$AT$1,'GHG emissions'!$AB$1)</c:f>
              <c:strCache>
                <c:ptCount val="4"/>
                <c:pt idx="0">
                  <c:v>Estimated non-direct GHG emissions associated with US dairy cattle production, MMT CO2e</c:v>
                </c:pt>
                <c:pt idx="1">
                  <c:v>Dairy cattle managed manure N2O, CO2e MMT</c:v>
                </c:pt>
                <c:pt idx="2">
                  <c:v>Dairy cattle managed manure CH4, CO2e MMT</c:v>
                </c:pt>
                <c:pt idx="3">
                  <c:v>Dairy cattle enteric CH4, CO2e MMT</c:v>
                </c:pt>
              </c:strCache>
            </c:strRef>
          </c:cat>
          <c:val>
            <c:numRef>
              <c:f>('GHG emissions'!$CC$62,'GHG emissions'!$BH$62,'GHG emissions'!$AT$62,'GHG emissions'!$AB$62)</c:f>
              <c:numCache>
                <c:formatCode>General</c:formatCode>
                <c:ptCount val="4"/>
                <c:pt idx="0" formatCode="0.0000">
                  <c:v>16.810310826076268</c:v>
                </c:pt>
                <c:pt idx="1">
                  <c:v>5.4059999999999997</c:v>
                </c:pt>
                <c:pt idx="2">
                  <c:v>24.709603486310957</c:v>
                </c:pt>
                <c:pt idx="3" formatCode="0.0">
                  <c:v>39.772284361864777</c:v>
                </c:pt>
              </c:numCache>
            </c:numRef>
          </c:val>
          <c:extLst>
            <c:ext xmlns:c16="http://schemas.microsoft.com/office/drawing/2014/chart" uri="{C3380CC4-5D6E-409C-BE32-E72D297353CC}">
              <c16:uniqueId val="{00000002-DA05-4BC7-B6DD-4D3DCC50C363}"/>
            </c:ext>
          </c:extLst>
        </c:ser>
        <c:dLbls>
          <c:showLegendKey val="0"/>
          <c:showVal val="0"/>
          <c:showCatName val="0"/>
          <c:showSerName val="0"/>
          <c:showPercent val="0"/>
          <c:showBubbleSize val="0"/>
        </c:dLbls>
        <c:gapWidth val="219"/>
        <c:overlap val="-27"/>
        <c:axId val="1214621824"/>
        <c:axId val="1214628712"/>
      </c:barChart>
      <c:catAx>
        <c:axId val="121462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628712"/>
        <c:crosses val="autoZero"/>
        <c:auto val="1"/>
        <c:lblAlgn val="ctr"/>
        <c:lblOffset val="100"/>
        <c:noMultiLvlLbl val="0"/>
      </c:catAx>
      <c:valAx>
        <c:axId val="1214628712"/>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621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Beef direct CO2 emissions, MMT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Enteric CH4</c:v>
          </c:tx>
          <c:spPr>
            <a:solidFill>
              <a:schemeClr val="accent1"/>
            </a:solidFill>
            <a:ln>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emissions'!$AL$22:$AL$31</c:f>
              <c:numCache>
                <c:formatCode>General</c:formatCode>
                <c:ptCount val="10"/>
                <c:pt idx="0">
                  <c:v>139.55199999999999</c:v>
                </c:pt>
                <c:pt idx="1">
                  <c:v>136.44400000000002</c:v>
                </c:pt>
                <c:pt idx="2">
                  <c:v>133.364</c:v>
                </c:pt>
                <c:pt idx="3">
                  <c:v>132.21600000000001</c:v>
                </c:pt>
                <c:pt idx="4">
                  <c:v>130.48000000000002</c:v>
                </c:pt>
                <c:pt idx="5">
                  <c:v>132.21600000000001</c:v>
                </c:pt>
                <c:pt idx="6">
                  <c:v>137.732</c:v>
                </c:pt>
                <c:pt idx="7">
                  <c:v>141.45599999999999</c:v>
                </c:pt>
                <c:pt idx="8">
                  <c:v>143.5</c:v>
                </c:pt>
                <c:pt idx="9" formatCode="0.0">
                  <c:v>144.536</c:v>
                </c:pt>
              </c:numCache>
            </c:numRef>
          </c:val>
          <c:extLst>
            <c:ext xmlns:c16="http://schemas.microsoft.com/office/drawing/2014/chart" uri="{C3380CC4-5D6E-409C-BE32-E72D297353CC}">
              <c16:uniqueId val="{00000000-D797-4528-97F7-15FB93FF6257}"/>
            </c:ext>
          </c:extLst>
        </c:ser>
        <c:ser>
          <c:idx val="1"/>
          <c:order val="1"/>
          <c:tx>
            <c:v>Manure CH4</c:v>
          </c:tx>
          <c:spPr>
            <a:solidFill>
              <a:schemeClr val="accent2"/>
            </a:solidFill>
            <a:ln w="25400">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emissions'!$BC$22:$BC$31</c:f>
              <c:numCache>
                <c:formatCode>General</c:formatCode>
                <c:ptCount val="10"/>
                <c:pt idx="0">
                  <c:v>3.6960000000000002</c:v>
                </c:pt>
                <c:pt idx="1">
                  <c:v>3.6680000000000001</c:v>
                </c:pt>
                <c:pt idx="2">
                  <c:v>3.5840000000000001</c:v>
                </c:pt>
                <c:pt idx="3">
                  <c:v>3.4159999999999999</c:v>
                </c:pt>
                <c:pt idx="4">
                  <c:v>3.36</c:v>
                </c:pt>
                <c:pt idx="5">
                  <c:v>3.528</c:v>
                </c:pt>
                <c:pt idx="6">
                  <c:v>3.6960000000000002</c:v>
                </c:pt>
                <c:pt idx="7">
                  <c:v>3.8080000000000003</c:v>
                </c:pt>
                <c:pt idx="8">
                  <c:v>3.7800000000000002</c:v>
                </c:pt>
                <c:pt idx="9">
                  <c:v>3.8080000000000003</c:v>
                </c:pt>
              </c:numCache>
            </c:numRef>
          </c:val>
          <c:extLst>
            <c:ext xmlns:c16="http://schemas.microsoft.com/office/drawing/2014/chart" uri="{C3380CC4-5D6E-409C-BE32-E72D297353CC}">
              <c16:uniqueId val="{00000001-D797-4528-97F7-15FB93FF6257}"/>
            </c:ext>
          </c:extLst>
        </c:ser>
        <c:ser>
          <c:idx val="2"/>
          <c:order val="2"/>
          <c:tx>
            <c:v>Manure N2O</c:v>
          </c:tx>
          <c:spPr>
            <a:solidFill>
              <a:schemeClr val="accent3"/>
            </a:solidFill>
            <a:ln w="25400">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emissions'!$BT$22:$BT$31</c:f>
              <c:numCache>
                <c:formatCode>General</c:formatCode>
                <c:ptCount val="10"/>
                <c:pt idx="0">
                  <c:v>6.7045000000000003</c:v>
                </c:pt>
                <c:pt idx="1">
                  <c:v>6.8635000000000002</c:v>
                </c:pt>
                <c:pt idx="2">
                  <c:v>6.8369999999999997</c:v>
                </c:pt>
                <c:pt idx="3">
                  <c:v>6.89</c:v>
                </c:pt>
                <c:pt idx="4">
                  <c:v>6.89</c:v>
                </c:pt>
                <c:pt idx="5">
                  <c:v>6.8369999999999997</c:v>
                </c:pt>
                <c:pt idx="6">
                  <c:v>7.2080000000000002</c:v>
                </c:pt>
                <c:pt idx="7">
                  <c:v>7.6055000000000001</c:v>
                </c:pt>
                <c:pt idx="8">
                  <c:v>8.2149999999999999</c:v>
                </c:pt>
                <c:pt idx="9">
                  <c:v>8.3475000000000001</c:v>
                </c:pt>
              </c:numCache>
            </c:numRef>
          </c:val>
          <c:extLst>
            <c:ext xmlns:c16="http://schemas.microsoft.com/office/drawing/2014/chart" uri="{C3380CC4-5D6E-409C-BE32-E72D297353CC}">
              <c16:uniqueId val="{00000002-D797-4528-97F7-15FB93FF6257}"/>
            </c:ext>
          </c:extLst>
        </c:ser>
        <c:dLbls>
          <c:showLegendKey val="0"/>
          <c:showVal val="0"/>
          <c:showCatName val="0"/>
          <c:showSerName val="0"/>
          <c:showPercent val="0"/>
          <c:showBubbleSize val="0"/>
        </c:dLbls>
        <c:axId val="430446303"/>
        <c:axId val="430452207"/>
      </c:areaChart>
      <c:catAx>
        <c:axId val="43044630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452207"/>
        <c:crosses val="autoZero"/>
        <c:auto val="1"/>
        <c:lblAlgn val="ctr"/>
        <c:lblOffset val="100"/>
        <c:noMultiLvlLbl val="0"/>
      </c:catAx>
      <c:valAx>
        <c:axId val="4304522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446303"/>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Beef direct</a:t>
            </a:r>
            <a:r>
              <a:rPr lang="en-US" baseline="0"/>
              <a:t> CO2we emissions, MMT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Enteric CH4</c:v>
          </c:tx>
          <c:spPr>
            <a:solidFill>
              <a:schemeClr val="accent1"/>
            </a:solidFill>
            <a:ln>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emissions'!$BR$22:$BR$31</c:f>
              <c:numCache>
                <c:formatCode>0.000</c:formatCode>
                <c:ptCount val="10"/>
                <c:pt idx="0">
                  <c:v>65.373559999999998</c:v>
                </c:pt>
                <c:pt idx="1">
                  <c:v>48.557320000000118</c:v>
                </c:pt>
                <c:pt idx="2">
                  <c:v>9.2579200000001265</c:v>
                </c:pt>
                <c:pt idx="3">
                  <c:v>-9.151520000000005</c:v>
                </c:pt>
                <c:pt idx="4">
                  <c:v>-34.032600000000002</c:v>
                </c:pt>
                <c:pt idx="5">
                  <c:v>-45.922519999999963</c:v>
                </c:pt>
                <c:pt idx="6">
                  <c:v>-17.841040000000021</c:v>
                </c:pt>
                <c:pt idx="7">
                  <c:v>14.855680000000007</c:v>
                </c:pt>
                <c:pt idx="8">
                  <c:v>32.325999999999908</c:v>
                </c:pt>
                <c:pt idx="9">
                  <c:v>40.827080000000024</c:v>
                </c:pt>
              </c:numCache>
            </c:numRef>
          </c:val>
          <c:extLst>
            <c:ext xmlns:c16="http://schemas.microsoft.com/office/drawing/2014/chart" uri="{C3380CC4-5D6E-409C-BE32-E72D297353CC}">
              <c16:uniqueId val="{00000000-8428-4C24-BC17-9AD2A59959C3}"/>
            </c:ext>
          </c:extLst>
        </c:ser>
        <c:ser>
          <c:idx val="1"/>
          <c:order val="1"/>
          <c:tx>
            <c:v>Manure CH4</c:v>
          </c:tx>
          <c:spPr>
            <a:solidFill>
              <a:schemeClr val="accent2"/>
            </a:solidFill>
            <a:ln w="25400">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emissions'!$BS$22:$BS$31</c:f>
              <c:numCache>
                <c:formatCode>0.000</c:formatCode>
                <c:ptCount val="10"/>
                <c:pt idx="0">
                  <c:v>1.083599999999997</c:v>
                </c:pt>
                <c:pt idx="1">
                  <c:v>0.96180000000000021</c:v>
                </c:pt>
                <c:pt idx="2">
                  <c:v>0.23939999999999628</c:v>
                </c:pt>
                <c:pt idx="3">
                  <c:v>-0.61040000000000205</c:v>
                </c:pt>
                <c:pt idx="4">
                  <c:v>-1.4490000000000034</c:v>
                </c:pt>
                <c:pt idx="5">
                  <c:v>-1.1942000000000004</c:v>
                </c:pt>
                <c:pt idx="6">
                  <c:v>-0.10640000000000427</c:v>
                </c:pt>
                <c:pt idx="7">
                  <c:v>0.61879999999999846</c:v>
                </c:pt>
                <c:pt idx="8">
                  <c:v>0.14000000000000057</c:v>
                </c:pt>
                <c:pt idx="9">
                  <c:v>0.26179999999999737</c:v>
                </c:pt>
              </c:numCache>
            </c:numRef>
          </c:val>
          <c:extLst>
            <c:ext xmlns:c16="http://schemas.microsoft.com/office/drawing/2014/chart" uri="{C3380CC4-5D6E-409C-BE32-E72D297353CC}">
              <c16:uniqueId val="{00000002-8428-4C24-BC17-9AD2A59959C3}"/>
            </c:ext>
          </c:extLst>
        </c:ser>
        <c:ser>
          <c:idx val="2"/>
          <c:order val="2"/>
          <c:tx>
            <c:v>Manure N2O</c:v>
          </c:tx>
          <c:spPr>
            <a:solidFill>
              <a:schemeClr val="accent3"/>
            </a:solidFill>
            <a:ln w="25400">
              <a:noFill/>
            </a:ln>
            <a:effectLst/>
          </c:spPr>
          <c:cat>
            <c:numRef>
              <c:f>'GHG emissions'!$A$22:$A$31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'GHG emissions'!$BT$22:$BT$31</c:f>
              <c:numCache>
                <c:formatCode>General</c:formatCode>
                <c:ptCount val="10"/>
                <c:pt idx="0">
                  <c:v>6.7045000000000003</c:v>
                </c:pt>
                <c:pt idx="1">
                  <c:v>6.8635000000000002</c:v>
                </c:pt>
                <c:pt idx="2">
                  <c:v>6.8369999999999997</c:v>
                </c:pt>
                <c:pt idx="3">
                  <c:v>6.89</c:v>
                </c:pt>
                <c:pt idx="4">
                  <c:v>6.89</c:v>
                </c:pt>
                <c:pt idx="5">
                  <c:v>6.8369999999999997</c:v>
                </c:pt>
                <c:pt idx="6">
                  <c:v>7.2080000000000002</c:v>
                </c:pt>
                <c:pt idx="7">
                  <c:v>7.6055000000000001</c:v>
                </c:pt>
                <c:pt idx="8">
                  <c:v>8.2149999999999999</c:v>
                </c:pt>
                <c:pt idx="9">
                  <c:v>8.3475000000000001</c:v>
                </c:pt>
              </c:numCache>
            </c:numRef>
          </c:val>
          <c:extLst>
            <c:ext xmlns:c16="http://schemas.microsoft.com/office/drawing/2014/chart" uri="{C3380CC4-5D6E-409C-BE32-E72D297353CC}">
              <c16:uniqueId val="{00000003-8428-4C24-BC17-9AD2A59959C3}"/>
            </c:ext>
          </c:extLst>
        </c:ser>
        <c:dLbls>
          <c:showLegendKey val="0"/>
          <c:showVal val="0"/>
          <c:showCatName val="0"/>
          <c:showSerName val="0"/>
          <c:showPercent val="0"/>
          <c:showBubbleSize val="0"/>
        </c:dLbls>
        <c:axId val="430420063"/>
        <c:axId val="430417439"/>
      </c:areaChart>
      <c:catAx>
        <c:axId val="43042006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417439"/>
        <c:crosses val="autoZero"/>
        <c:auto val="1"/>
        <c:lblAlgn val="ctr"/>
        <c:lblOffset val="100"/>
        <c:noMultiLvlLbl val="0"/>
      </c:catAx>
      <c:valAx>
        <c:axId val="430417439"/>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420063"/>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Cummulative emissions 2010 - 2050 from dairy cattle production, MMT of CO2e or CO2we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Cumulative dairy cattle production CO2e emissions</c:v>
          </c:tx>
          <c:spPr>
            <a:ln w="28575" cap="rnd">
              <a:solidFill>
                <a:schemeClr val="accent1"/>
              </a:solidFill>
              <a:round/>
            </a:ln>
            <a:effectLst/>
          </c:spPr>
          <c:marker>
            <c:symbol val="none"/>
          </c:marke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emissions'!$CK$22:$CK$62</c:f>
              <c:numCache>
                <c:formatCode>0.00</c:formatCode>
                <c:ptCount val="41"/>
                <c:pt idx="0">
                  <c:v>105.68466269016884</c:v>
                </c:pt>
                <c:pt idx="1">
                  <c:v>212.51282538033769</c:v>
                </c:pt>
                <c:pt idx="2">
                  <c:v>321.32598807050653</c:v>
                </c:pt>
                <c:pt idx="3">
                  <c:v>429.35665076067539</c:v>
                </c:pt>
                <c:pt idx="4">
                  <c:v>538.50431345084417</c:v>
                </c:pt>
                <c:pt idx="5">
                  <c:v>649.74447614101302</c:v>
                </c:pt>
                <c:pt idx="6">
                  <c:v>762.21363883118181</c:v>
                </c:pt>
                <c:pt idx="7">
                  <c:v>875.24130152135069</c:v>
                </c:pt>
                <c:pt idx="8">
                  <c:v>989.3299642115195</c:v>
                </c:pt>
                <c:pt idx="9">
                  <c:v>1102.6111269016883</c:v>
                </c:pt>
                <c:pt idx="10">
                  <c:v>1215.7765495918572</c:v>
                </c:pt>
                <c:pt idx="11">
                  <c:v>1328.8003012420261</c:v>
                </c:pt>
                <c:pt idx="12">
                  <c:v>1441.6829485363548</c:v>
                </c:pt>
                <c:pt idx="13">
                  <c:v>1554.425055892267</c:v>
                </c:pt>
                <c:pt idx="14">
                  <c:v>1667.0271854695161</c:v>
                </c:pt>
                <c:pt idx="15">
                  <c:v>1779.489897179217</c:v>
                </c:pt>
                <c:pt idx="16">
                  <c:v>1891.4155539685462</c:v>
                </c:pt>
                <c:pt idx="17">
                  <c:v>2002.808960265779</c:v>
                </c:pt>
                <c:pt idx="18">
                  <c:v>2113.6748758173649</c:v>
                </c:pt>
                <c:pt idx="19">
                  <c:v>2224.0180161098187</c:v>
                </c:pt>
                <c:pt idx="20">
                  <c:v>2333.8430527875817</c:v>
                </c:pt>
                <c:pt idx="21">
                  <c:v>2442.5599107675698</c:v>
                </c:pt>
                <c:pt idx="22">
                  <c:v>2550.1821478617262</c:v>
                </c:pt>
                <c:pt idx="23">
                  <c:v>2656.7231491634998</c:v>
                </c:pt>
                <c:pt idx="24">
                  <c:v>2762.196129332136</c:v>
                </c:pt>
                <c:pt idx="25">
                  <c:v>2866.6141348457677</c:v>
                </c:pt>
                <c:pt idx="26">
                  <c:v>2969.9900462237451</c:v>
                </c:pt>
                <c:pt idx="27">
                  <c:v>3072.3365802186322</c:v>
                </c:pt>
                <c:pt idx="28">
                  <c:v>3173.6662919782998</c:v>
                </c:pt>
                <c:pt idx="29">
                  <c:v>3273.9915771785286</c:v>
                </c:pt>
                <c:pt idx="30">
                  <c:v>3373.3246741265411</c:v>
                </c:pt>
                <c:pt idx="31">
                  <c:v>3471.2976155082765</c:v>
                </c:pt>
                <c:pt idx="32">
                  <c:v>3567.93286103947</c:v>
                </c:pt>
                <c:pt idx="33">
                  <c:v>3663.2524923924761</c:v>
                </c:pt>
                <c:pt idx="34">
                  <c:v>3757.2782196898725</c:v>
                </c:pt>
                <c:pt idx="35">
                  <c:v>3850.0313878841989</c:v>
                </c:pt>
                <c:pt idx="36">
                  <c:v>3941.5329830258738</c:v>
                </c:pt>
                <c:pt idx="37">
                  <c:v>4031.8036384212819</c:v>
                </c:pt>
                <c:pt idx="38">
                  <c:v>4120.8636406829992</c:v>
                </c:pt>
                <c:pt idx="39">
                  <c:v>4208.7329356740875</c:v>
                </c:pt>
                <c:pt idx="40">
                  <c:v>4295.4311343483396</c:v>
                </c:pt>
              </c:numCache>
            </c:numRef>
          </c:val>
          <c:smooth val="0"/>
          <c:extLst>
            <c:ext xmlns:c16="http://schemas.microsoft.com/office/drawing/2014/chart" uri="{C3380CC4-5D6E-409C-BE32-E72D297353CC}">
              <c16:uniqueId val="{00000000-5C9D-45D4-91BA-C0526A1957C9}"/>
            </c:ext>
          </c:extLst>
        </c:ser>
        <c:ser>
          <c:idx val="1"/>
          <c:order val="1"/>
          <c:tx>
            <c:v>Cumulative dairy cattle production CO2we emissions</c:v>
          </c:tx>
          <c:spPr>
            <a:ln w="28575" cap="rnd">
              <a:solidFill>
                <a:schemeClr val="accent2"/>
              </a:solidFill>
              <a:round/>
            </a:ln>
            <a:effectLst/>
          </c:spPr>
          <c:marker>
            <c:symbol val="none"/>
          </c:marke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emissions'!$CN$22:$CN$62</c:f>
              <c:numCache>
                <c:formatCode>0.00</c:formatCode>
                <c:ptCount val="41"/>
                <c:pt idx="0">
                  <c:v>120.19650269016884</c:v>
                </c:pt>
                <c:pt idx="1">
                  <c:v>244.93542538033773</c:v>
                </c:pt>
                <c:pt idx="2">
                  <c:v>382.88230807050661</c:v>
                </c:pt>
                <c:pt idx="3">
                  <c:v>516.0690107606755</c:v>
                </c:pt>
                <c:pt idx="4">
                  <c:v>652.10563345084438</c:v>
                </c:pt>
                <c:pt idx="5">
                  <c:v>794.17855614101313</c:v>
                </c:pt>
                <c:pt idx="6">
                  <c:v>942.34575883118191</c:v>
                </c:pt>
                <c:pt idx="7">
                  <c:v>1090.0934215213508</c:v>
                </c:pt>
                <c:pt idx="8">
                  <c:v>1239.6043242115197</c:v>
                </c:pt>
                <c:pt idx="9">
                  <c:v>1374.0758869016886</c:v>
                </c:pt>
                <c:pt idx="10">
                  <c:v>1501.9796023918575</c:v>
                </c:pt>
                <c:pt idx="11">
                  <c:v>1624.4815480708264</c:v>
                </c:pt>
                <c:pt idx="12">
                  <c:v>1743.60729101784</c:v>
                </c:pt>
                <c:pt idx="13">
                  <c:v>1856.3843880438262</c:v>
                </c:pt>
                <c:pt idx="14">
                  <c:v>1979.8323857324692</c:v>
                </c:pt>
                <c:pt idx="15">
                  <c:v>2092.5338204811183</c:v>
                </c:pt>
                <c:pt idx="16">
                  <c:v>2197.3587799602064</c:v>
                </c:pt>
                <c:pt idx="17">
                  <c:v>2278.7353378534217</c:v>
                </c:pt>
                <c:pt idx="18">
                  <c:v>2355.6014006136052</c:v>
                </c:pt>
                <c:pt idx="19">
                  <c:v>2428.0927091100857</c:v>
                </c:pt>
                <c:pt idx="20">
                  <c:v>2498.8438402597276</c:v>
                </c:pt>
                <c:pt idx="21">
                  <c:v>2560.8559629584574</c:v>
                </c:pt>
                <c:pt idx="22">
                  <c:v>2610.4934636838752</c:v>
                </c:pt>
                <c:pt idx="23">
                  <c:v>2659.2330268029095</c:v>
                </c:pt>
                <c:pt idx="24">
                  <c:v>2699.3916441166107</c:v>
                </c:pt>
                <c:pt idx="25">
                  <c:v>2727.2126242716445</c:v>
                </c:pt>
                <c:pt idx="26">
                  <c:v>2746.0786020403807</c:v>
                </c:pt>
                <c:pt idx="27">
                  <c:v>2758.7765474714529</c:v>
                </c:pt>
                <c:pt idx="28">
                  <c:v>2763.3327749126379</c:v>
                </c:pt>
                <c:pt idx="29">
                  <c:v>2767.1739519078678</c:v>
                </c:pt>
                <c:pt idx="30">
                  <c:v>2767.8586279701758</c:v>
                </c:pt>
                <c:pt idx="31">
                  <c:v>2764.4364130994923</c:v>
                </c:pt>
                <c:pt idx="32">
                  <c:v>2756.9775911631732</c:v>
                </c:pt>
                <c:pt idx="33">
                  <c:v>2745.5513241304348</c:v>
                </c:pt>
                <c:pt idx="34">
                  <c:v>2730.2256698297488</c:v>
                </c:pt>
                <c:pt idx="35">
                  <c:v>2711.0675994229932</c:v>
                </c:pt>
                <c:pt idx="36">
                  <c:v>2689.0824016809374</c:v>
                </c:pt>
                <c:pt idx="37">
                  <c:v>2664.3225146014734</c:v>
                </c:pt>
                <c:pt idx="38">
                  <c:v>2636.839478386672</c:v>
                </c:pt>
                <c:pt idx="39">
                  <c:v>2606.6839503913857</c:v>
                </c:pt>
                <c:pt idx="40">
                  <c:v>2573.9057198253677</c:v>
                </c:pt>
              </c:numCache>
            </c:numRef>
          </c:val>
          <c:smooth val="0"/>
          <c:extLst>
            <c:ext xmlns:c16="http://schemas.microsoft.com/office/drawing/2014/chart" uri="{C3380CC4-5D6E-409C-BE32-E72D297353CC}">
              <c16:uniqueId val="{00000002-5C9D-45D4-91BA-C0526A1957C9}"/>
            </c:ext>
          </c:extLst>
        </c:ser>
        <c:dLbls>
          <c:showLegendKey val="0"/>
          <c:showVal val="0"/>
          <c:showCatName val="0"/>
          <c:showSerName val="0"/>
          <c:showPercent val="0"/>
          <c:showBubbleSize val="0"/>
        </c:dLbls>
        <c:smooth val="0"/>
        <c:axId val="2094492840"/>
        <c:axId val="2094493168"/>
      </c:lineChart>
      <c:catAx>
        <c:axId val="2094492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4493168"/>
        <c:crosses val="autoZero"/>
        <c:auto val="1"/>
        <c:lblAlgn val="ctr"/>
        <c:lblOffset val="100"/>
        <c:noMultiLvlLbl val="0"/>
      </c:catAx>
      <c:valAx>
        <c:axId val="20944931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4492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Cummulative emissions 2010 - 2050 from beef cattle production, MMT CO2e or CO2we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Cumulative beef cattle production CO2e emissions</c:v>
          </c:tx>
          <c:spPr>
            <a:ln w="28575" cap="rnd">
              <a:solidFill>
                <a:schemeClr val="accent1"/>
              </a:solidFill>
              <a:round/>
            </a:ln>
            <a:effectLst/>
          </c:spPr>
          <c:marker>
            <c:symbol val="none"/>
          </c:marke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emissions'!$CF$22:$CF$62</c:f>
              <c:numCache>
                <c:formatCode>0.00</c:formatCode>
                <c:ptCount val="41"/>
                <c:pt idx="0">
                  <c:v>251.69710904827133</c:v>
                </c:pt>
                <c:pt idx="1">
                  <c:v>500.41721809654268</c:v>
                </c:pt>
                <c:pt idx="2">
                  <c:v>745.94682714481405</c:v>
                </c:pt>
                <c:pt idx="3">
                  <c:v>990.21343619308539</c:v>
                </c:pt>
                <c:pt idx="4">
                  <c:v>1232.6880452413568</c:v>
                </c:pt>
                <c:pt idx="5">
                  <c:v>1477.0136542896282</c:v>
                </c:pt>
                <c:pt idx="6">
                  <c:v>1727.3942633378997</c:v>
                </c:pt>
                <c:pt idx="7">
                  <c:v>1982.008372386171</c:v>
                </c:pt>
                <c:pt idx="8">
                  <c:v>2239.2479814344424</c:v>
                </c:pt>
                <c:pt idx="9">
                  <c:v>2497.6840904827136</c:v>
                </c:pt>
                <c:pt idx="10">
                  <c:v>2756.1201995309848</c:v>
                </c:pt>
                <c:pt idx="11">
                  <c:v>3014.556308579256</c:v>
                </c:pt>
                <c:pt idx="12">
                  <c:v>3272.9924176275272</c:v>
                </c:pt>
                <c:pt idx="13">
                  <c:v>3531.4285266757984</c:v>
                </c:pt>
                <c:pt idx="14">
                  <c:v>3789.8646357240696</c:v>
                </c:pt>
                <c:pt idx="15">
                  <c:v>4048.3007447723407</c:v>
                </c:pt>
                <c:pt idx="16">
                  <c:v>4305.8788492527501</c:v>
                </c:pt>
                <c:pt idx="17">
                  <c:v>4562.6051468995565</c:v>
                </c:pt>
                <c:pt idx="18">
                  <c:v>4818.485790150512</c:v>
                </c:pt>
                <c:pt idx="19">
                  <c:v>5073.5268864806521</c:v>
                </c:pt>
                <c:pt idx="20">
                  <c:v>5327.7344987336164</c:v>
                </c:pt>
                <c:pt idx="21">
                  <c:v>5579.5213098640506</c:v>
                </c:pt>
                <c:pt idx="22">
                  <c:v>5828.9115278831805</c:v>
                </c:pt>
                <c:pt idx="23">
                  <c:v>6075.9291187221197</c:v>
                </c:pt>
                <c:pt idx="24">
                  <c:v>6320.5978086526693</c:v>
                </c:pt>
                <c:pt idx="25">
                  <c:v>6562.9410866839135</c:v>
                </c:pt>
                <c:pt idx="26">
                  <c:v>6802.9822069348447</c:v>
                </c:pt>
                <c:pt idx="27">
                  <c:v>7040.7441909832669</c:v>
                </c:pt>
                <c:pt idx="28">
                  <c:v>7276.2498301912046</c:v>
                </c:pt>
                <c:pt idx="29">
                  <c:v>7509.5216880070629</c:v>
                </c:pt>
                <c:pt idx="30">
                  <c:v>7740.5821022447626</c:v>
                </c:pt>
                <c:pt idx="31">
                  <c:v>7967.9154389044525</c:v>
                </c:pt>
                <c:pt idx="32">
                  <c:v>8191.5864658270912</c:v>
                </c:pt>
                <c:pt idx="33">
                  <c:v>8411.6588021024763</c:v>
                </c:pt>
                <c:pt idx="34">
                  <c:v>8628.1949388451867</c:v>
                </c:pt>
                <c:pt idx="35">
                  <c:v>8841.2562595879826</c:v>
                </c:pt>
                <c:pt idx="36">
                  <c:v>9050.9030602998391</c:v>
                </c:pt>
                <c:pt idx="37">
                  <c:v>9257.1945690356151</c:v>
                </c:pt>
                <c:pt idx="38">
                  <c:v>9460.1889652242589</c:v>
                </c:pt>
                <c:pt idx="39">
                  <c:v>9659.9433986023014</c:v>
                </c:pt>
                <c:pt idx="40">
                  <c:v>9856.5140077992564</c:v>
                </c:pt>
              </c:numCache>
            </c:numRef>
          </c:val>
          <c:smooth val="0"/>
          <c:extLst>
            <c:ext xmlns:c16="http://schemas.microsoft.com/office/drawing/2014/chart" uri="{C3380CC4-5D6E-409C-BE32-E72D297353CC}">
              <c16:uniqueId val="{00000000-6FFF-4596-AEDD-5E8B001C9C0B}"/>
            </c:ext>
          </c:extLst>
        </c:ser>
        <c:ser>
          <c:idx val="1"/>
          <c:order val="1"/>
          <c:tx>
            <c:v>Cumulative beef cattle produciton CO2we emissions</c:v>
          </c:tx>
          <c:spPr>
            <a:ln w="28575" cap="rnd">
              <a:solidFill>
                <a:schemeClr val="accent2"/>
              </a:solidFill>
              <a:round/>
            </a:ln>
            <a:effectLst/>
          </c:spPr>
          <c:marker>
            <c:symbol val="none"/>
          </c:marke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emissions'!$CI$22:$CI$62</c:f>
              <c:numCache>
                <c:formatCode>0.00</c:formatCode>
                <c:ptCount val="41"/>
                <c:pt idx="0">
                  <c:v>174.90626904827133</c:v>
                </c:pt>
                <c:pt idx="1">
                  <c:v>333.03349809654281</c:v>
                </c:pt>
                <c:pt idx="2">
                  <c:v>451.11242714481432</c:v>
                </c:pt>
                <c:pt idx="3">
                  <c:v>549.98511619308567</c:v>
                </c:pt>
                <c:pt idx="4">
                  <c:v>623.13812524135699</c:v>
                </c:pt>
                <c:pt idx="5">
                  <c:v>684.60301428962839</c:v>
                </c:pt>
                <c:pt idx="6">
                  <c:v>775.60818333789973</c:v>
                </c:pt>
                <c:pt idx="7">
                  <c:v>900.43277238617111</c:v>
                </c:pt>
                <c:pt idx="8">
                  <c:v>1042.8583814344424</c:v>
                </c:pt>
                <c:pt idx="9">
                  <c:v>1194.0393704827138</c:v>
                </c:pt>
                <c:pt idx="10">
                  <c:v>1356.5303995309853</c:v>
                </c:pt>
                <c:pt idx="11">
                  <c:v>1522.5914285792567</c:v>
                </c:pt>
                <c:pt idx="12">
                  <c:v>1688.6524576275281</c:v>
                </c:pt>
                <c:pt idx="13">
                  <c:v>1854.5944866757995</c:v>
                </c:pt>
                <c:pt idx="14">
                  <c:v>2030.8895157240709</c:v>
                </c:pt>
                <c:pt idx="15">
                  <c:v>2200.6395447723426</c:v>
                </c:pt>
                <c:pt idx="16">
                  <c:v>2359.9145016527518</c:v>
                </c:pt>
                <c:pt idx="17">
                  <c:v>2513.3632594375581</c:v>
                </c:pt>
                <c:pt idx="18">
                  <c:v>2671.4656375258232</c:v>
                </c:pt>
                <c:pt idx="19">
                  <c:v>2833.6344020190872</c:v>
                </c:pt>
                <c:pt idx="20">
                  <c:v>3000.3532660943592</c:v>
                </c:pt>
                <c:pt idx="21">
                  <c:v>3172.8928065288787</c:v>
                </c:pt>
                <c:pt idx="22">
                  <c:v>3351.4470965590531</c:v>
                </c:pt>
                <c:pt idx="23">
                  <c:v>3528.2364586889253</c:v>
                </c:pt>
                <c:pt idx="24">
                  <c:v>3705.3574721974992</c:v>
                </c:pt>
                <c:pt idx="25">
                  <c:v>3867.1749805709869</c:v>
                </c:pt>
                <c:pt idx="26">
                  <c:v>3997.6960988607402</c:v>
                </c:pt>
                <c:pt idx="27">
                  <c:v>4104.8462209675954</c:v>
                </c:pt>
                <c:pt idx="28">
                  <c:v>4196.4310268533827</c:v>
                </c:pt>
                <c:pt idx="29">
                  <c:v>4276.5664896803119</c:v>
                </c:pt>
                <c:pt idx="30">
                  <c:v>4349.8438828789713</c:v>
                </c:pt>
                <c:pt idx="31">
                  <c:v>4412.4939588152056</c:v>
                </c:pt>
                <c:pt idx="32">
                  <c:v>4464.6849889252408</c:v>
                </c:pt>
                <c:pt idx="33">
                  <c:v>4506.5825433402124</c:v>
                </c:pt>
                <c:pt idx="34">
                  <c:v>4538.3495349504155</c:v>
                </c:pt>
                <c:pt idx="35">
                  <c:v>4560.1462627376914</c:v>
                </c:pt>
                <c:pt idx="36">
                  <c:v>4572.5338643883597</c:v>
                </c:pt>
                <c:pt idx="37">
                  <c:v>4575.665521148866</c:v>
                </c:pt>
                <c:pt idx="38">
                  <c:v>4569.6919361713699</c:v>
                </c:pt>
                <c:pt idx="39">
                  <c:v>4554.7613749901166</c:v>
                </c:pt>
                <c:pt idx="40">
                  <c:v>4531.0197053260708</c:v>
                </c:pt>
              </c:numCache>
            </c:numRef>
          </c:val>
          <c:smooth val="0"/>
          <c:extLst>
            <c:ext xmlns:c16="http://schemas.microsoft.com/office/drawing/2014/chart" uri="{C3380CC4-5D6E-409C-BE32-E72D297353CC}">
              <c16:uniqueId val="{00000002-6FFF-4596-AEDD-5E8B001C9C0B}"/>
            </c:ext>
          </c:extLst>
        </c:ser>
        <c:dLbls>
          <c:showLegendKey val="0"/>
          <c:showVal val="0"/>
          <c:showCatName val="0"/>
          <c:showSerName val="0"/>
          <c:showPercent val="0"/>
          <c:showBubbleSize val="0"/>
        </c:dLbls>
        <c:smooth val="0"/>
        <c:axId val="1419126176"/>
        <c:axId val="1419117648"/>
      </c:lineChart>
      <c:catAx>
        <c:axId val="141912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117648"/>
        <c:crosses val="autoZero"/>
        <c:auto val="1"/>
        <c:lblAlgn val="ctr"/>
        <c:lblOffset val="100"/>
        <c:noMultiLvlLbl val="0"/>
      </c:catAx>
      <c:valAx>
        <c:axId val="14191176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12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Feedlot cattle as a % of total beef cattle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4696490289562816"/>
                  <c:y val="-1.7530981905581496E-2"/>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'GHG emissions'!$A$2:$A$33</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xVal>
          <c:yVal>
            <c:numRef>
              <c:f>'GHG emissions'!$K$2:$K$33</c:f>
              <c:numCache>
                <c:formatCode>0.00%</c:formatCode>
                <c:ptCount val="32"/>
                <c:pt idx="0">
                  <c:v>0.14242173297333849</c:v>
                </c:pt>
                <c:pt idx="1">
                  <c:v>0.15443194791945006</c:v>
                </c:pt>
                <c:pt idx="2">
                  <c:v>0.14268236148747138</c:v>
                </c:pt>
                <c:pt idx="3">
                  <c:v>0.14985657639416181</c:v>
                </c:pt>
                <c:pt idx="4">
                  <c:v>0.14911480259805981</c:v>
                </c:pt>
                <c:pt idx="5">
                  <c:v>0.13926561496084977</c:v>
                </c:pt>
                <c:pt idx="6">
                  <c:v>0.14391701281681069</c:v>
                </c:pt>
                <c:pt idx="7">
                  <c:v>0.14931003155889142</c:v>
                </c:pt>
                <c:pt idx="8">
                  <c:v>0.15721014379737358</c:v>
                </c:pt>
                <c:pt idx="9">
                  <c:v>0.15460635814065005</c:v>
                </c:pt>
                <c:pt idx="10">
                  <c:v>0.16553276779539006</c:v>
                </c:pt>
                <c:pt idx="11">
                  <c:v>0.16981805378451933</c:v>
                </c:pt>
                <c:pt idx="12">
                  <c:v>0.16814101045204433</c:v>
                </c:pt>
                <c:pt idx="13">
                  <c:v>0.15957385170271013</c:v>
                </c:pt>
                <c:pt idx="14">
                  <c:v>0.17092539697165146</c:v>
                </c:pt>
                <c:pt idx="15">
                  <c:v>0.17002511663913239</c:v>
                </c:pt>
                <c:pt idx="16">
                  <c:v>0.17352265986332222</c:v>
                </c:pt>
                <c:pt idx="17">
                  <c:v>0.17624627573294058</c:v>
                </c:pt>
                <c:pt idx="18">
                  <c:v>0.18001760509940812</c:v>
                </c:pt>
                <c:pt idx="19">
                  <c:v>0.17164637120625548</c:v>
                </c:pt>
                <c:pt idx="20">
                  <c:v>0.17064896480138234</c:v>
                </c:pt>
                <c:pt idx="21">
                  <c:v>0.17853036968161043</c:v>
                </c:pt>
                <c:pt idx="22">
                  <c:v>0.18569283128111794</c:v>
                </c:pt>
                <c:pt idx="23">
                  <c:v>0.17953105204753675</c:v>
                </c:pt>
                <c:pt idx="24">
                  <c:v>0.17382614030071533</c:v>
                </c:pt>
                <c:pt idx="25">
                  <c:v>0.17331575088455597</c:v>
                </c:pt>
                <c:pt idx="26">
                  <c:v>0.1691927635233843</c:v>
                </c:pt>
                <c:pt idx="27">
                  <c:v>0.16488117923929052</c:v>
                </c:pt>
                <c:pt idx="28">
                  <c:v>0.17660953636563392</c:v>
                </c:pt>
                <c:pt idx="29">
                  <c:v>0.17793109085099901</c:v>
                </c:pt>
                <c:pt idx="30">
                  <c:v>0.18375713173542343</c:v>
                </c:pt>
                <c:pt idx="31">
                  <c:v>0.18488339350543559</c:v>
                </c:pt>
              </c:numCache>
            </c:numRef>
          </c:yVal>
          <c:smooth val="0"/>
          <c:extLst>
            <c:ext xmlns:c16="http://schemas.microsoft.com/office/drawing/2014/chart" uri="{C3380CC4-5D6E-409C-BE32-E72D297353CC}">
              <c16:uniqueId val="{00000000-229C-453D-B08E-E50D854DA2E5}"/>
            </c:ext>
          </c:extLst>
        </c:ser>
        <c:dLbls>
          <c:showLegendKey val="0"/>
          <c:showVal val="0"/>
          <c:showCatName val="0"/>
          <c:showSerName val="0"/>
          <c:showPercent val="0"/>
          <c:showBubbleSize val="0"/>
        </c:dLbls>
        <c:axId val="1347439496"/>
        <c:axId val="1347442120"/>
      </c:scatterChart>
      <c:valAx>
        <c:axId val="1347439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7442120"/>
        <c:crosses val="autoZero"/>
        <c:crossBetween val="midCat"/>
      </c:valAx>
      <c:valAx>
        <c:axId val="1347442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74394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'GHG emissions'!$CC$1</c:f>
              <c:strCache>
                <c:ptCount val="1"/>
                <c:pt idx="0">
                  <c:v>Estimated non-direct GHG emissions associated with US dairy cattle production, MMT CO2e</c:v>
                </c:pt>
              </c:strCache>
            </c:strRef>
          </c:tx>
          <c:spPr>
            <a:ln w="25400" cap="rnd">
              <a:noFill/>
              <a:round/>
            </a:ln>
            <a:effectLst/>
          </c:spPr>
          <c:marker>
            <c:symbol val="circle"/>
            <c:size val="5"/>
            <c:spPr>
              <a:solidFill>
                <a:schemeClr val="accent1"/>
              </a:solidFill>
              <a:ln w="9525">
                <a:solidFill>
                  <a:schemeClr val="accent1"/>
                </a:solidFill>
              </a:ln>
              <a:effectLst/>
            </c:spPr>
          </c:marker>
          <c:xVal>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xVal>
          <c:yVal>
            <c:numRef>
              <c:f>'GHG emissions'!$CC$22:$CC$62</c:f>
              <c:numCache>
                <c:formatCode>0.0000</c:formatCode>
                <c:ptCount val="41"/>
                <c:pt idx="0">
                  <c:v>23.621662690168829</c:v>
                </c:pt>
                <c:pt idx="1">
                  <c:v>23.621662690168829</c:v>
                </c:pt>
                <c:pt idx="2">
                  <c:v>23.621662690168829</c:v>
                </c:pt>
                <c:pt idx="3">
                  <c:v>23.621662690168829</c:v>
                </c:pt>
                <c:pt idx="4">
                  <c:v>23.621662690168829</c:v>
                </c:pt>
                <c:pt idx="5">
                  <c:v>23.621662690168829</c:v>
                </c:pt>
                <c:pt idx="6">
                  <c:v>23.621662690168829</c:v>
                </c:pt>
                <c:pt idx="7">
                  <c:v>23.621662690168829</c:v>
                </c:pt>
                <c:pt idx="8">
                  <c:v>23.621662690168829</c:v>
                </c:pt>
                <c:pt idx="9">
                  <c:v>23.621662690168829</c:v>
                </c:pt>
                <c:pt idx="10">
                  <c:v>23.621662690168829</c:v>
                </c:pt>
                <c:pt idx="11">
                  <c:v>23.621662690168829</c:v>
                </c:pt>
                <c:pt idx="12">
                  <c:v>23.621662690168829</c:v>
                </c:pt>
                <c:pt idx="13">
                  <c:v>23.621662690168829</c:v>
                </c:pt>
                <c:pt idx="14">
                  <c:v>23.621662690168829</c:v>
                </c:pt>
                <c:pt idx="15">
                  <c:v>23.621662690168829</c:v>
                </c:pt>
                <c:pt idx="16">
                  <c:v>23.444500219992566</c:v>
                </c:pt>
                <c:pt idx="17">
                  <c:v>23.268666468342623</c:v>
                </c:pt>
                <c:pt idx="18">
                  <c:v>23.094151469830056</c:v>
                </c:pt>
                <c:pt idx="19">
                  <c:v>22.92094533380633</c:v>
                </c:pt>
                <c:pt idx="20">
                  <c:v>22.749038243802783</c:v>
                </c:pt>
                <c:pt idx="21">
                  <c:v>22.521547861364756</c:v>
                </c:pt>
                <c:pt idx="22">
                  <c:v>22.296332382751107</c:v>
                </c:pt>
                <c:pt idx="23">
                  <c:v>22.073369058923596</c:v>
                </c:pt>
                <c:pt idx="24">
                  <c:v>21.852635368334361</c:v>
                </c:pt>
                <c:pt idx="25">
                  <c:v>21.634109014651017</c:v>
                </c:pt>
                <c:pt idx="26">
                  <c:v>21.417767924504506</c:v>
                </c:pt>
                <c:pt idx="27">
                  <c:v>21.203590245259463</c:v>
                </c:pt>
                <c:pt idx="28">
                  <c:v>20.991554342806868</c:v>
                </c:pt>
                <c:pt idx="29">
                  <c:v>20.781638799378801</c:v>
                </c:pt>
                <c:pt idx="30">
                  <c:v>20.573822411385013</c:v>
                </c:pt>
                <c:pt idx="31">
                  <c:v>20.162345963157314</c:v>
                </c:pt>
                <c:pt idx="32">
                  <c:v>19.759099043894167</c:v>
                </c:pt>
                <c:pt idx="33">
                  <c:v>19.363917063016284</c:v>
                </c:pt>
                <c:pt idx="34">
                  <c:v>18.976638721755958</c:v>
                </c:pt>
                <c:pt idx="35">
                  <c:v>18.597105947320838</c:v>
                </c:pt>
                <c:pt idx="36">
                  <c:v>18.22516382837442</c:v>
                </c:pt>
                <c:pt idx="37">
                  <c:v>17.86066055180693</c:v>
                </c:pt>
                <c:pt idx="38">
                  <c:v>17.503447340770791</c:v>
                </c:pt>
                <c:pt idx="39">
                  <c:v>17.153378393955375</c:v>
                </c:pt>
                <c:pt idx="40">
                  <c:v>16.810310826076268</c:v>
                </c:pt>
              </c:numCache>
            </c:numRef>
          </c:yVal>
          <c:smooth val="0"/>
          <c:extLst>
            <c:ext xmlns:c16="http://schemas.microsoft.com/office/drawing/2014/chart" uri="{C3380CC4-5D6E-409C-BE32-E72D297353CC}">
              <c16:uniqueId val="{00000000-4360-4134-A6D4-A2C4F38358C8}"/>
            </c:ext>
          </c:extLst>
        </c:ser>
        <c:dLbls>
          <c:showLegendKey val="0"/>
          <c:showVal val="0"/>
          <c:showCatName val="0"/>
          <c:showSerName val="0"/>
          <c:showPercent val="0"/>
          <c:showBubbleSize val="0"/>
        </c:dLbls>
        <c:axId val="970303680"/>
        <c:axId val="970300728"/>
      </c:scatterChart>
      <c:valAx>
        <c:axId val="970303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0300728"/>
        <c:crosses val="autoZero"/>
        <c:crossBetween val="midCat"/>
      </c:valAx>
      <c:valAx>
        <c:axId val="970300728"/>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03036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'GHG emissions'!$CA$1</c:f>
              <c:strCache>
                <c:ptCount val="1"/>
                <c:pt idx="0">
                  <c:v>Estimated non-direct GHG emissions associated with US beef cattle production, MMT CO2e</c:v>
                </c:pt>
              </c:strCache>
            </c:strRef>
          </c:tx>
          <c:spPr>
            <a:ln w="25400" cap="rnd">
              <a:noFill/>
              <a:round/>
            </a:ln>
            <a:effectLst/>
          </c:spPr>
          <c:marker>
            <c:symbol val="circle"/>
            <c:size val="5"/>
            <c:spPr>
              <a:solidFill>
                <a:schemeClr val="accent1"/>
              </a:solidFill>
              <a:ln w="9525">
                <a:solidFill>
                  <a:schemeClr val="accent1"/>
                </a:solidFill>
              </a:ln>
              <a:effectLst/>
            </c:spPr>
          </c:marker>
          <c:xVal>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xVal>
          <c:yVal>
            <c:numRef>
              <c:f>'GHG emissions'!$CA$22:$CA$62</c:f>
              <c:numCache>
                <c:formatCode>0.00</c:formatCode>
                <c:ptCount val="41"/>
                <c:pt idx="0">
                  <c:v>101.74460904827136</c:v>
                </c:pt>
                <c:pt idx="1">
                  <c:v>101.74460904827136</c:v>
                </c:pt>
                <c:pt idx="2">
                  <c:v>101.74460904827136</c:v>
                </c:pt>
                <c:pt idx="3">
                  <c:v>101.74460904827136</c:v>
                </c:pt>
                <c:pt idx="4">
                  <c:v>101.74460904827136</c:v>
                </c:pt>
                <c:pt idx="5">
                  <c:v>101.74460904827136</c:v>
                </c:pt>
                <c:pt idx="6">
                  <c:v>101.74460904827136</c:v>
                </c:pt>
                <c:pt idx="7">
                  <c:v>101.74460904827136</c:v>
                </c:pt>
                <c:pt idx="8">
                  <c:v>101.74460904827136</c:v>
                </c:pt>
                <c:pt idx="9">
                  <c:v>101.74460904827136</c:v>
                </c:pt>
                <c:pt idx="10">
                  <c:v>101.74460904827136</c:v>
                </c:pt>
                <c:pt idx="11">
                  <c:v>101.74460904827136</c:v>
                </c:pt>
                <c:pt idx="12">
                  <c:v>101.74460904827136</c:v>
                </c:pt>
                <c:pt idx="13">
                  <c:v>101.74460904827136</c:v>
                </c:pt>
                <c:pt idx="14">
                  <c:v>101.74460904827136</c:v>
                </c:pt>
                <c:pt idx="15">
                  <c:v>101.74460904827136</c:v>
                </c:pt>
                <c:pt idx="16">
                  <c:v>100.98152448040933</c:v>
                </c:pt>
                <c:pt idx="17">
                  <c:v>100.22416304680627</c:v>
                </c:pt>
                <c:pt idx="18">
                  <c:v>99.472481823955221</c:v>
                </c:pt>
                <c:pt idx="19">
                  <c:v>98.72643821027556</c:v>
                </c:pt>
                <c:pt idx="20">
                  <c:v>97.985989923698497</c:v>
                </c:pt>
                <c:pt idx="21">
                  <c:v>97.006130024461513</c:v>
                </c:pt>
                <c:pt idx="22">
                  <c:v>96.036068724216904</c:v>
                </c:pt>
                <c:pt idx="23">
                  <c:v>95.075708036974731</c:v>
                </c:pt>
                <c:pt idx="24">
                  <c:v>94.124950956604977</c:v>
                </c:pt>
                <c:pt idx="25">
                  <c:v>93.183701447038928</c:v>
                </c:pt>
                <c:pt idx="26">
                  <c:v>92.251864432568539</c:v>
                </c:pt>
                <c:pt idx="27">
                  <c:v>91.329345788242847</c:v>
                </c:pt>
                <c:pt idx="28">
                  <c:v>90.416052330360415</c:v>
                </c:pt>
                <c:pt idx="29">
                  <c:v>89.511891807056813</c:v>
                </c:pt>
                <c:pt idx="30">
                  <c:v>88.616772888986247</c:v>
                </c:pt>
                <c:pt idx="31">
                  <c:v>86.844437431206515</c:v>
                </c:pt>
                <c:pt idx="32">
                  <c:v>85.10754868258239</c:v>
                </c:pt>
                <c:pt idx="33">
                  <c:v>83.405397708930735</c:v>
                </c:pt>
                <c:pt idx="34">
                  <c:v>81.737289754752112</c:v>
                </c:pt>
                <c:pt idx="35">
                  <c:v>80.102543959657069</c:v>
                </c:pt>
                <c:pt idx="36">
                  <c:v>78.500493080463926</c:v>
                </c:pt>
                <c:pt idx="37">
                  <c:v>76.930483218854647</c:v>
                </c:pt>
                <c:pt idx="38">
                  <c:v>75.391873554477556</c:v>
                </c:pt>
                <c:pt idx="39">
                  <c:v>73.884036083387997</c:v>
                </c:pt>
                <c:pt idx="40">
                  <c:v>72.40635536172023</c:v>
                </c:pt>
              </c:numCache>
            </c:numRef>
          </c:yVal>
          <c:smooth val="0"/>
          <c:extLst>
            <c:ext xmlns:c16="http://schemas.microsoft.com/office/drawing/2014/chart" uri="{C3380CC4-5D6E-409C-BE32-E72D297353CC}">
              <c16:uniqueId val="{00000000-E8C8-462C-927C-76CA094D05AB}"/>
            </c:ext>
          </c:extLst>
        </c:ser>
        <c:dLbls>
          <c:showLegendKey val="0"/>
          <c:showVal val="0"/>
          <c:showCatName val="0"/>
          <c:showSerName val="0"/>
          <c:showPercent val="0"/>
          <c:showBubbleSize val="0"/>
        </c:dLbls>
        <c:axId val="1132330272"/>
        <c:axId val="1132330600"/>
      </c:scatterChart>
      <c:valAx>
        <c:axId val="1132330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2330600"/>
        <c:crosses val="autoZero"/>
        <c:crossBetween val="midCat"/>
      </c:valAx>
      <c:valAx>
        <c:axId val="1132330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23302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Enteric methane emissions from beef</a:t>
            </a:r>
            <a:r>
              <a:rPr lang="en-US" baseline="0"/>
              <a:t> cattle by class, kt methane/yr (source: US EPA)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areaChart>
        <c:grouping val="stacked"/>
        <c:varyColors val="0"/>
        <c:ser>
          <c:idx val="0"/>
          <c:order val="0"/>
          <c:tx>
            <c:strRef>
              <c:f>'GHG emissions'!$AD$1</c:f>
              <c:strCache>
                <c:ptCount val="1"/>
                <c:pt idx="0">
                  <c:v>Beef Calves (4–6 months) enteric fermentation methane, kt</c:v>
                </c:pt>
              </c:strCache>
            </c:strRef>
          </c:tx>
          <c:spPr>
            <a:solidFill>
              <a:schemeClr val="accent1"/>
            </a:solidFill>
            <a:ln>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emissions'!$AD$2:$AD$31</c:f>
              <c:numCache>
                <c:formatCode>General</c:formatCode>
                <c:ptCount val="30"/>
                <c:pt idx="0">
                  <c:v>182</c:v>
                </c:pt>
                <c:pt idx="1">
                  <c:v>183</c:v>
                </c:pt>
                <c:pt idx="2">
                  <c:v>185</c:v>
                </c:pt>
                <c:pt idx="3">
                  <c:v>187</c:v>
                </c:pt>
                <c:pt idx="4">
                  <c:v>192</c:v>
                </c:pt>
                <c:pt idx="5">
                  <c:v>193</c:v>
                </c:pt>
                <c:pt idx="6">
                  <c:v>190</c:v>
                </c:pt>
                <c:pt idx="7">
                  <c:v>186</c:v>
                </c:pt>
                <c:pt idx="8">
                  <c:v>185</c:v>
                </c:pt>
                <c:pt idx="9">
                  <c:v>186</c:v>
                </c:pt>
                <c:pt idx="10">
                  <c:v>186</c:v>
                </c:pt>
                <c:pt idx="11">
                  <c:v>187</c:v>
                </c:pt>
                <c:pt idx="12">
                  <c:v>186</c:v>
                </c:pt>
                <c:pt idx="13">
                  <c:v>181</c:v>
                </c:pt>
                <c:pt idx="14">
                  <c:v>180</c:v>
                </c:pt>
                <c:pt idx="15">
                  <c:v>179</c:v>
                </c:pt>
                <c:pt idx="16">
                  <c:v>177</c:v>
                </c:pt>
                <c:pt idx="17">
                  <c:v>175</c:v>
                </c:pt>
                <c:pt idx="18">
                  <c:v>171</c:v>
                </c:pt>
                <c:pt idx="19">
                  <c:v>169</c:v>
                </c:pt>
                <c:pt idx="20">
                  <c:v>169</c:v>
                </c:pt>
                <c:pt idx="21">
                  <c:v>166</c:v>
                </c:pt>
                <c:pt idx="22">
                  <c:v>161</c:v>
                </c:pt>
                <c:pt idx="23">
                  <c:v>157</c:v>
                </c:pt>
                <c:pt idx="24">
                  <c:v>156</c:v>
                </c:pt>
                <c:pt idx="25">
                  <c:v>158</c:v>
                </c:pt>
                <c:pt idx="26">
                  <c:v>164</c:v>
                </c:pt>
                <c:pt idx="27">
                  <c:v>168</c:v>
                </c:pt>
                <c:pt idx="28">
                  <c:v>169</c:v>
                </c:pt>
                <c:pt idx="29" formatCode="#,##0">
                  <c:v>171</c:v>
                </c:pt>
              </c:numCache>
            </c:numRef>
          </c:val>
          <c:extLst>
            <c:ext xmlns:c16="http://schemas.microsoft.com/office/drawing/2014/chart" uri="{C3380CC4-5D6E-409C-BE32-E72D297353CC}">
              <c16:uniqueId val="{00000000-9922-478C-9715-43FFA524C954}"/>
            </c:ext>
          </c:extLst>
        </c:ser>
        <c:ser>
          <c:idx val="1"/>
          <c:order val="1"/>
          <c:tx>
            <c:strRef>
              <c:f>'GHG emissions'!$AE$1</c:f>
              <c:strCache>
                <c:ptCount val="1"/>
                <c:pt idx="0">
                  <c:v>Beef Bulls enteric fermentation methane, kt</c:v>
                </c:pt>
              </c:strCache>
            </c:strRef>
          </c:tx>
          <c:spPr>
            <a:solidFill>
              <a:schemeClr val="accent2"/>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emissions'!$AE$2:$AE$31</c:f>
              <c:numCache>
                <c:formatCode>General</c:formatCode>
                <c:ptCount val="30"/>
                <c:pt idx="0">
                  <c:v>196</c:v>
                </c:pt>
                <c:pt idx="1">
                  <c:v>200</c:v>
                </c:pt>
                <c:pt idx="2">
                  <c:v>209</c:v>
                </c:pt>
                <c:pt idx="3">
                  <c:v>214</c:v>
                </c:pt>
                <c:pt idx="4">
                  <c:v>218</c:v>
                </c:pt>
                <c:pt idx="5">
                  <c:v>225</c:v>
                </c:pt>
                <c:pt idx="6">
                  <c:v>225</c:v>
                </c:pt>
                <c:pt idx="7">
                  <c:v>222</c:v>
                </c:pt>
                <c:pt idx="8">
                  <c:v>216</c:v>
                </c:pt>
                <c:pt idx="9">
                  <c:v>216</c:v>
                </c:pt>
                <c:pt idx="10">
                  <c:v>215</c:v>
                </c:pt>
                <c:pt idx="11">
                  <c:v>213</c:v>
                </c:pt>
                <c:pt idx="12">
                  <c:v>211</c:v>
                </c:pt>
                <c:pt idx="13">
                  <c:v>215</c:v>
                </c:pt>
                <c:pt idx="14">
                  <c:v>212</c:v>
                </c:pt>
                <c:pt idx="15">
                  <c:v>214</c:v>
                </c:pt>
                <c:pt idx="16">
                  <c:v>220</c:v>
                </c:pt>
                <c:pt idx="17">
                  <c:v>217</c:v>
                </c:pt>
                <c:pt idx="18">
                  <c:v>216</c:v>
                </c:pt>
                <c:pt idx="19">
                  <c:v>214</c:v>
                </c:pt>
                <c:pt idx="20">
                  <c:v>215</c:v>
                </c:pt>
                <c:pt idx="21">
                  <c:v>212</c:v>
                </c:pt>
                <c:pt idx="22">
                  <c:v>206</c:v>
                </c:pt>
                <c:pt idx="23">
                  <c:v>203</c:v>
                </c:pt>
                <c:pt idx="24">
                  <c:v>200</c:v>
                </c:pt>
                <c:pt idx="25">
                  <c:v>207</c:v>
                </c:pt>
                <c:pt idx="26">
                  <c:v>210</c:v>
                </c:pt>
                <c:pt idx="27">
                  <c:v>220</c:v>
                </c:pt>
                <c:pt idx="28">
                  <c:v>221</c:v>
                </c:pt>
                <c:pt idx="29" formatCode="#,##0">
                  <c:v>221</c:v>
                </c:pt>
              </c:numCache>
            </c:numRef>
          </c:val>
          <c:extLst>
            <c:ext xmlns:c16="http://schemas.microsoft.com/office/drawing/2014/chart" uri="{C3380CC4-5D6E-409C-BE32-E72D297353CC}">
              <c16:uniqueId val="{00000002-9922-478C-9715-43FFA524C954}"/>
            </c:ext>
          </c:extLst>
        </c:ser>
        <c:ser>
          <c:idx val="2"/>
          <c:order val="2"/>
          <c:tx>
            <c:strRef>
              <c:f>'GHG emissions'!$AF$1</c:f>
              <c:strCache>
                <c:ptCount val="1"/>
                <c:pt idx="0">
                  <c:v>Beef Cows enteric fermentation methane, kt</c:v>
                </c:pt>
              </c:strCache>
            </c:strRef>
          </c:tx>
          <c:spPr>
            <a:solidFill>
              <a:schemeClr val="accent3"/>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emissions'!$AF$2:$AF$31</c:f>
              <c:numCache>
                <c:formatCode>#,##0</c:formatCode>
                <c:ptCount val="30"/>
                <c:pt idx="0">
                  <c:v>2884</c:v>
                </c:pt>
                <c:pt idx="1">
                  <c:v>2895</c:v>
                </c:pt>
                <c:pt idx="2">
                  <c:v>2995</c:v>
                </c:pt>
                <c:pt idx="3">
                  <c:v>3053</c:v>
                </c:pt>
                <c:pt idx="4">
                  <c:v>3165</c:v>
                </c:pt>
                <c:pt idx="5">
                  <c:v>3222</c:v>
                </c:pt>
                <c:pt idx="6">
                  <c:v>3238</c:v>
                </c:pt>
                <c:pt idx="7">
                  <c:v>3160</c:v>
                </c:pt>
                <c:pt idx="8">
                  <c:v>3123</c:v>
                </c:pt>
                <c:pt idx="9">
                  <c:v>3104</c:v>
                </c:pt>
                <c:pt idx="10">
                  <c:v>3058</c:v>
                </c:pt>
                <c:pt idx="11">
                  <c:v>3041</c:v>
                </c:pt>
                <c:pt idx="12">
                  <c:v>3023</c:v>
                </c:pt>
                <c:pt idx="13">
                  <c:v>3057</c:v>
                </c:pt>
                <c:pt idx="14">
                  <c:v>3037</c:v>
                </c:pt>
                <c:pt idx="15">
                  <c:v>3056</c:v>
                </c:pt>
                <c:pt idx="16">
                  <c:v>3079</c:v>
                </c:pt>
                <c:pt idx="17">
                  <c:v>3089</c:v>
                </c:pt>
                <c:pt idx="18">
                  <c:v>3070</c:v>
                </c:pt>
                <c:pt idx="19">
                  <c:v>3010</c:v>
                </c:pt>
                <c:pt idx="20">
                  <c:v>2976</c:v>
                </c:pt>
                <c:pt idx="21">
                  <c:v>2927</c:v>
                </c:pt>
                <c:pt idx="22">
                  <c:v>2868</c:v>
                </c:pt>
                <c:pt idx="23">
                  <c:v>2806</c:v>
                </c:pt>
                <c:pt idx="24">
                  <c:v>2754</c:v>
                </c:pt>
                <c:pt idx="25">
                  <c:v>2774</c:v>
                </c:pt>
                <c:pt idx="26">
                  <c:v>2856</c:v>
                </c:pt>
                <c:pt idx="27">
                  <c:v>2954</c:v>
                </c:pt>
                <c:pt idx="28">
                  <c:v>2978</c:v>
                </c:pt>
                <c:pt idx="29" formatCode="#,##0.0">
                  <c:v>3000</c:v>
                </c:pt>
              </c:numCache>
            </c:numRef>
          </c:val>
          <c:extLst>
            <c:ext xmlns:c16="http://schemas.microsoft.com/office/drawing/2014/chart" uri="{C3380CC4-5D6E-409C-BE32-E72D297353CC}">
              <c16:uniqueId val="{00000003-9922-478C-9715-43FFA524C954}"/>
            </c:ext>
          </c:extLst>
        </c:ser>
        <c:ser>
          <c:idx val="3"/>
          <c:order val="3"/>
          <c:tx>
            <c:strRef>
              <c:f>'GHG emissions'!$AG$1</c:f>
              <c:strCache>
                <c:ptCount val="1"/>
                <c:pt idx="0">
                  <c:v>Beef Replacements 7–11 months enteric fermentation methane, kt</c:v>
                </c:pt>
              </c:strCache>
            </c:strRef>
          </c:tx>
          <c:spPr>
            <a:solidFill>
              <a:schemeClr val="accent4"/>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emissions'!$AG$2:$AG$31</c:f>
              <c:numCache>
                <c:formatCode>General</c:formatCode>
                <c:ptCount val="30"/>
                <c:pt idx="0">
                  <c:v>69</c:v>
                </c:pt>
                <c:pt idx="1">
                  <c:v>71</c:v>
                </c:pt>
                <c:pt idx="2">
                  <c:v>78</c:v>
                </c:pt>
                <c:pt idx="3">
                  <c:v>83</c:v>
                </c:pt>
                <c:pt idx="4">
                  <c:v>87</c:v>
                </c:pt>
                <c:pt idx="5">
                  <c:v>85</c:v>
                </c:pt>
                <c:pt idx="6">
                  <c:v>84</c:v>
                </c:pt>
                <c:pt idx="7">
                  <c:v>79</c:v>
                </c:pt>
                <c:pt idx="8">
                  <c:v>76</c:v>
                </c:pt>
                <c:pt idx="9">
                  <c:v>75</c:v>
                </c:pt>
                <c:pt idx="10">
                  <c:v>74</c:v>
                </c:pt>
                <c:pt idx="11">
                  <c:v>74</c:v>
                </c:pt>
                <c:pt idx="12">
                  <c:v>75</c:v>
                </c:pt>
                <c:pt idx="13">
                  <c:v>76</c:v>
                </c:pt>
                <c:pt idx="14">
                  <c:v>77</c:v>
                </c:pt>
                <c:pt idx="15">
                  <c:v>80</c:v>
                </c:pt>
                <c:pt idx="16">
                  <c:v>82</c:v>
                </c:pt>
                <c:pt idx="17">
                  <c:v>82</c:v>
                </c:pt>
                <c:pt idx="18">
                  <c:v>79</c:v>
                </c:pt>
                <c:pt idx="19">
                  <c:v>78</c:v>
                </c:pt>
                <c:pt idx="20">
                  <c:v>75</c:v>
                </c:pt>
                <c:pt idx="21">
                  <c:v>74</c:v>
                </c:pt>
                <c:pt idx="22">
                  <c:v>76</c:v>
                </c:pt>
                <c:pt idx="23">
                  <c:v>78</c:v>
                </c:pt>
                <c:pt idx="24">
                  <c:v>83</c:v>
                </c:pt>
                <c:pt idx="25">
                  <c:v>89</c:v>
                </c:pt>
                <c:pt idx="26">
                  <c:v>91</c:v>
                </c:pt>
                <c:pt idx="27">
                  <c:v>90</c:v>
                </c:pt>
                <c:pt idx="28">
                  <c:v>86</c:v>
                </c:pt>
                <c:pt idx="29" formatCode="#,##0">
                  <c:v>83</c:v>
                </c:pt>
              </c:numCache>
            </c:numRef>
          </c:val>
          <c:extLst>
            <c:ext xmlns:c16="http://schemas.microsoft.com/office/drawing/2014/chart" uri="{C3380CC4-5D6E-409C-BE32-E72D297353CC}">
              <c16:uniqueId val="{00000004-9922-478C-9715-43FFA524C954}"/>
            </c:ext>
          </c:extLst>
        </c:ser>
        <c:ser>
          <c:idx val="4"/>
          <c:order val="4"/>
          <c:tx>
            <c:strRef>
              <c:f>'GHG emissions'!$AH$1</c:f>
              <c:strCache>
                <c:ptCount val="1"/>
                <c:pt idx="0">
                  <c:v>Beef Replacements 12–23 months enteric fermentation methane, kt</c:v>
                </c:pt>
              </c:strCache>
            </c:strRef>
          </c:tx>
          <c:spPr>
            <a:solidFill>
              <a:schemeClr val="accent5"/>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emissions'!$AH$2:$AH$31</c:f>
              <c:numCache>
                <c:formatCode>General</c:formatCode>
                <c:ptCount val="30"/>
                <c:pt idx="0">
                  <c:v>188</c:v>
                </c:pt>
                <c:pt idx="1">
                  <c:v>194</c:v>
                </c:pt>
                <c:pt idx="2">
                  <c:v>208</c:v>
                </c:pt>
                <c:pt idx="3">
                  <c:v>225</c:v>
                </c:pt>
                <c:pt idx="4">
                  <c:v>237</c:v>
                </c:pt>
                <c:pt idx="5">
                  <c:v>241</c:v>
                </c:pt>
                <c:pt idx="6">
                  <c:v>234</c:v>
                </c:pt>
                <c:pt idx="7">
                  <c:v>225</c:v>
                </c:pt>
                <c:pt idx="8">
                  <c:v>216</c:v>
                </c:pt>
                <c:pt idx="9">
                  <c:v>208</c:v>
                </c:pt>
                <c:pt idx="10">
                  <c:v>204</c:v>
                </c:pt>
                <c:pt idx="11">
                  <c:v>206</c:v>
                </c:pt>
                <c:pt idx="12">
                  <c:v>206</c:v>
                </c:pt>
                <c:pt idx="13">
                  <c:v>213</c:v>
                </c:pt>
                <c:pt idx="14">
                  <c:v>211</c:v>
                </c:pt>
                <c:pt idx="15">
                  <c:v>217</c:v>
                </c:pt>
                <c:pt idx="16">
                  <c:v>228</c:v>
                </c:pt>
                <c:pt idx="17">
                  <c:v>229</c:v>
                </c:pt>
                <c:pt idx="18">
                  <c:v>222</c:v>
                </c:pt>
                <c:pt idx="19">
                  <c:v>217</c:v>
                </c:pt>
                <c:pt idx="20">
                  <c:v>213</c:v>
                </c:pt>
                <c:pt idx="21">
                  <c:v>202</c:v>
                </c:pt>
                <c:pt idx="22">
                  <c:v>208</c:v>
                </c:pt>
                <c:pt idx="23">
                  <c:v>213</c:v>
                </c:pt>
                <c:pt idx="24">
                  <c:v>218</c:v>
                </c:pt>
                <c:pt idx="25">
                  <c:v>239</c:v>
                </c:pt>
                <c:pt idx="26">
                  <c:v>250</c:v>
                </c:pt>
                <c:pt idx="27">
                  <c:v>251</c:v>
                </c:pt>
                <c:pt idx="28">
                  <c:v>241</c:v>
                </c:pt>
                <c:pt idx="29" formatCode="#,##0">
                  <c:v>232</c:v>
                </c:pt>
              </c:numCache>
            </c:numRef>
          </c:val>
          <c:extLst>
            <c:ext xmlns:c16="http://schemas.microsoft.com/office/drawing/2014/chart" uri="{C3380CC4-5D6E-409C-BE32-E72D297353CC}">
              <c16:uniqueId val="{00000005-9922-478C-9715-43FFA524C954}"/>
            </c:ext>
          </c:extLst>
        </c:ser>
        <c:ser>
          <c:idx val="5"/>
          <c:order val="5"/>
          <c:tx>
            <c:strRef>
              <c:f>'GHG emissions'!$AI$1</c:f>
              <c:strCache>
                <c:ptCount val="1"/>
                <c:pt idx="0">
                  <c:v>Beef Steer Stockers enteric fermentation methane, kt</c:v>
                </c:pt>
              </c:strCache>
            </c:strRef>
          </c:tx>
          <c:spPr>
            <a:solidFill>
              <a:schemeClr val="accent6"/>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emissions'!$AI$2:$AI$31</c:f>
              <c:numCache>
                <c:formatCode>General</c:formatCode>
                <c:ptCount val="30"/>
                <c:pt idx="0">
                  <c:v>563</c:v>
                </c:pt>
                <c:pt idx="1">
                  <c:v>556</c:v>
                </c:pt>
                <c:pt idx="2">
                  <c:v>617</c:v>
                </c:pt>
                <c:pt idx="3">
                  <c:v>637</c:v>
                </c:pt>
                <c:pt idx="4">
                  <c:v>609</c:v>
                </c:pt>
                <c:pt idx="5">
                  <c:v>662</c:v>
                </c:pt>
                <c:pt idx="6">
                  <c:v>639</c:v>
                </c:pt>
                <c:pt idx="7">
                  <c:v>608</c:v>
                </c:pt>
                <c:pt idx="8">
                  <c:v>598</c:v>
                </c:pt>
                <c:pt idx="9">
                  <c:v>561</c:v>
                </c:pt>
                <c:pt idx="10">
                  <c:v>509</c:v>
                </c:pt>
                <c:pt idx="11">
                  <c:v>506</c:v>
                </c:pt>
                <c:pt idx="12">
                  <c:v>517</c:v>
                </c:pt>
                <c:pt idx="13">
                  <c:v>485</c:v>
                </c:pt>
                <c:pt idx="14">
                  <c:v>465</c:v>
                </c:pt>
                <c:pt idx="15">
                  <c:v>473</c:v>
                </c:pt>
                <c:pt idx="16">
                  <c:v>475</c:v>
                </c:pt>
                <c:pt idx="17">
                  <c:v>480</c:v>
                </c:pt>
                <c:pt idx="18">
                  <c:v>476</c:v>
                </c:pt>
                <c:pt idx="19">
                  <c:v>494</c:v>
                </c:pt>
                <c:pt idx="20">
                  <c:v>476</c:v>
                </c:pt>
                <c:pt idx="21">
                  <c:v>436</c:v>
                </c:pt>
                <c:pt idx="22">
                  <c:v>413</c:v>
                </c:pt>
                <c:pt idx="23">
                  <c:v>431</c:v>
                </c:pt>
                <c:pt idx="24">
                  <c:v>426</c:v>
                </c:pt>
                <c:pt idx="25">
                  <c:v>433</c:v>
                </c:pt>
                <c:pt idx="26">
                  <c:v>472</c:v>
                </c:pt>
                <c:pt idx="27">
                  <c:v>461</c:v>
                </c:pt>
                <c:pt idx="28">
                  <c:v>465</c:v>
                </c:pt>
                <c:pt idx="29" formatCode="#,##0">
                  <c:v>472</c:v>
                </c:pt>
              </c:numCache>
            </c:numRef>
          </c:val>
          <c:extLst>
            <c:ext xmlns:c16="http://schemas.microsoft.com/office/drawing/2014/chart" uri="{C3380CC4-5D6E-409C-BE32-E72D297353CC}">
              <c16:uniqueId val="{00000006-9922-478C-9715-43FFA524C954}"/>
            </c:ext>
          </c:extLst>
        </c:ser>
        <c:ser>
          <c:idx val="6"/>
          <c:order val="6"/>
          <c:tx>
            <c:strRef>
              <c:f>'GHG emissions'!$AJ$1</c:f>
              <c:strCache>
                <c:ptCount val="1"/>
                <c:pt idx="0">
                  <c:v>Beef Heifer Stockers enteric fermentation methane, kt</c:v>
                </c:pt>
              </c:strCache>
            </c:strRef>
          </c:tx>
          <c:spPr>
            <a:solidFill>
              <a:schemeClr val="accent1">
                <a:lumMod val="60000"/>
              </a:schemeClr>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emissions'!$AJ$2:$AJ$31</c:f>
              <c:numCache>
                <c:formatCode>General</c:formatCode>
                <c:ptCount val="30"/>
                <c:pt idx="0">
                  <c:v>306</c:v>
                </c:pt>
                <c:pt idx="1">
                  <c:v>303</c:v>
                </c:pt>
                <c:pt idx="2">
                  <c:v>325</c:v>
                </c:pt>
                <c:pt idx="3">
                  <c:v>344</c:v>
                </c:pt>
                <c:pt idx="4">
                  <c:v>346</c:v>
                </c:pt>
                <c:pt idx="5">
                  <c:v>375</c:v>
                </c:pt>
                <c:pt idx="6">
                  <c:v>373</c:v>
                </c:pt>
                <c:pt idx="7">
                  <c:v>366</c:v>
                </c:pt>
                <c:pt idx="8">
                  <c:v>363</c:v>
                </c:pt>
                <c:pt idx="9">
                  <c:v>351</c:v>
                </c:pt>
                <c:pt idx="10">
                  <c:v>323</c:v>
                </c:pt>
                <c:pt idx="11">
                  <c:v>322</c:v>
                </c:pt>
                <c:pt idx="12">
                  <c:v>323</c:v>
                </c:pt>
                <c:pt idx="13">
                  <c:v>305</c:v>
                </c:pt>
                <c:pt idx="14">
                  <c:v>292</c:v>
                </c:pt>
                <c:pt idx="15">
                  <c:v>299</c:v>
                </c:pt>
                <c:pt idx="16">
                  <c:v>299</c:v>
                </c:pt>
                <c:pt idx="17">
                  <c:v>296</c:v>
                </c:pt>
                <c:pt idx="18">
                  <c:v>290</c:v>
                </c:pt>
                <c:pt idx="19">
                  <c:v>301</c:v>
                </c:pt>
                <c:pt idx="20">
                  <c:v>302</c:v>
                </c:pt>
                <c:pt idx="21">
                  <c:v>283</c:v>
                </c:pt>
                <c:pt idx="22">
                  <c:v>266</c:v>
                </c:pt>
                <c:pt idx="23">
                  <c:v>267</c:v>
                </c:pt>
                <c:pt idx="24">
                  <c:v>256</c:v>
                </c:pt>
                <c:pt idx="25">
                  <c:v>263</c:v>
                </c:pt>
                <c:pt idx="26">
                  <c:v>289</c:v>
                </c:pt>
                <c:pt idx="27">
                  <c:v>286</c:v>
                </c:pt>
                <c:pt idx="28">
                  <c:v>297</c:v>
                </c:pt>
                <c:pt idx="29" formatCode="#,##0">
                  <c:v>306</c:v>
                </c:pt>
              </c:numCache>
            </c:numRef>
          </c:val>
          <c:extLst>
            <c:ext xmlns:c16="http://schemas.microsoft.com/office/drawing/2014/chart" uri="{C3380CC4-5D6E-409C-BE32-E72D297353CC}">
              <c16:uniqueId val="{00000007-9922-478C-9715-43FFA524C954}"/>
            </c:ext>
          </c:extLst>
        </c:ser>
        <c:ser>
          <c:idx val="7"/>
          <c:order val="7"/>
          <c:tx>
            <c:strRef>
              <c:f>'GHG emissions'!$AK$1</c:f>
              <c:strCache>
                <c:ptCount val="1"/>
                <c:pt idx="0">
                  <c:v>Beef Feedlot Cattle enteric fermentation methane, kt</c:v>
                </c:pt>
              </c:strCache>
            </c:strRef>
          </c:tx>
          <c:spPr>
            <a:solidFill>
              <a:schemeClr val="accent2">
                <a:lumMod val="60000"/>
              </a:schemeClr>
            </a:solidFill>
            <a:ln w="25400">
              <a:noFill/>
            </a:ln>
            <a:effectLst/>
          </c:spPr>
          <c:cat>
            <c:numRef>
              <c:f>'GHG emissions'!$A$2:$A$31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'GHG emissions'!$AK$2:$AK$31</c:f>
              <c:numCache>
                <c:formatCode>General</c:formatCode>
                <c:ptCount val="30"/>
                <c:pt idx="0">
                  <c:v>375</c:v>
                </c:pt>
                <c:pt idx="1">
                  <c:v>384</c:v>
                </c:pt>
                <c:pt idx="2">
                  <c:v>382</c:v>
                </c:pt>
                <c:pt idx="3">
                  <c:v>366</c:v>
                </c:pt>
                <c:pt idx="4">
                  <c:v>400</c:v>
                </c:pt>
                <c:pt idx="5">
                  <c:v>416</c:v>
                </c:pt>
                <c:pt idx="6">
                  <c:v>411</c:v>
                </c:pt>
                <c:pt idx="7">
                  <c:v>414</c:v>
                </c:pt>
                <c:pt idx="8">
                  <c:v>414</c:v>
                </c:pt>
                <c:pt idx="9">
                  <c:v>459</c:v>
                </c:pt>
                <c:pt idx="10">
                  <c:v>502</c:v>
                </c:pt>
                <c:pt idx="11">
                  <c:v>488</c:v>
                </c:pt>
                <c:pt idx="12">
                  <c:v>499</c:v>
                </c:pt>
                <c:pt idx="13">
                  <c:v>508</c:v>
                </c:pt>
                <c:pt idx="14">
                  <c:v>482</c:v>
                </c:pt>
                <c:pt idx="15">
                  <c:v>488</c:v>
                </c:pt>
                <c:pt idx="16">
                  <c:v>521</c:v>
                </c:pt>
                <c:pt idx="17">
                  <c:v>556</c:v>
                </c:pt>
                <c:pt idx="18">
                  <c:v>554</c:v>
                </c:pt>
                <c:pt idx="19">
                  <c:v>551</c:v>
                </c:pt>
                <c:pt idx="20">
                  <c:v>560</c:v>
                </c:pt>
                <c:pt idx="21">
                  <c:v>573</c:v>
                </c:pt>
                <c:pt idx="22">
                  <c:v>565</c:v>
                </c:pt>
                <c:pt idx="23">
                  <c:v>568</c:v>
                </c:pt>
                <c:pt idx="24">
                  <c:v>567</c:v>
                </c:pt>
                <c:pt idx="25">
                  <c:v>558</c:v>
                </c:pt>
                <c:pt idx="26">
                  <c:v>587</c:v>
                </c:pt>
                <c:pt idx="27">
                  <c:v>621</c:v>
                </c:pt>
                <c:pt idx="28">
                  <c:v>667</c:v>
                </c:pt>
                <c:pt idx="29" formatCode="#,##0">
                  <c:v>678</c:v>
                </c:pt>
              </c:numCache>
            </c:numRef>
          </c:val>
          <c:extLst>
            <c:ext xmlns:c16="http://schemas.microsoft.com/office/drawing/2014/chart" uri="{C3380CC4-5D6E-409C-BE32-E72D297353CC}">
              <c16:uniqueId val="{00000008-9922-478C-9715-43FFA524C954}"/>
            </c:ext>
          </c:extLst>
        </c:ser>
        <c:dLbls>
          <c:showLegendKey val="0"/>
          <c:showVal val="0"/>
          <c:showCatName val="0"/>
          <c:showSerName val="0"/>
          <c:showPercent val="0"/>
          <c:showBubbleSize val="0"/>
        </c:dLbls>
        <c:axId val="1503202224"/>
        <c:axId val="1503198288"/>
      </c:areaChart>
      <c:catAx>
        <c:axId val="150320222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Year</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03198288"/>
        <c:crosses val="autoZero"/>
        <c:auto val="1"/>
        <c:lblAlgn val="ctr"/>
        <c:lblOffset val="100"/>
        <c:tickLblSkip val="1"/>
        <c:noMultiLvlLbl val="0"/>
      </c:catAx>
      <c:valAx>
        <c:axId val="1503198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Annual enteric</a:t>
                </a:r>
                <a:r>
                  <a:rPr lang="en-US" sz="1100" baseline="0"/>
                  <a:t> methane emissions from beef cattle, kt</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032022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Beef cattle enteric fermentation methane emissions, kt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'GHG emissions'!$AD$1</c:f>
              <c:strCache>
                <c:ptCount val="1"/>
                <c:pt idx="0">
                  <c:v>Beef Calves (4–6 months) enteric fermentation methane, kt</c:v>
                </c:pt>
              </c:strCache>
            </c:strRef>
          </c:tx>
          <c:spPr>
            <a:solidFill>
              <a:schemeClr val="accent1"/>
            </a:solidFill>
            <a:ln>
              <a:noFill/>
            </a:ln>
            <a:effectLst/>
          </c:spPr>
          <c:cat>
            <c:numRef>
              <c:f>'GHG emissions'!$A$2:$A$62</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'GHG emissions'!$AD$2:$AD$62</c:f>
              <c:numCache>
                <c:formatCode>General</c:formatCode>
                <c:ptCount val="61"/>
                <c:pt idx="0">
                  <c:v>182</c:v>
                </c:pt>
                <c:pt idx="1">
                  <c:v>183</c:v>
                </c:pt>
                <c:pt idx="2">
                  <c:v>185</c:v>
                </c:pt>
                <c:pt idx="3">
                  <c:v>187</c:v>
                </c:pt>
                <c:pt idx="4">
                  <c:v>192</c:v>
                </c:pt>
                <c:pt idx="5">
                  <c:v>193</c:v>
                </c:pt>
                <c:pt idx="6">
                  <c:v>190</c:v>
                </c:pt>
                <c:pt idx="7">
                  <c:v>186</c:v>
                </c:pt>
                <c:pt idx="8">
                  <c:v>185</c:v>
                </c:pt>
                <c:pt idx="9">
                  <c:v>186</c:v>
                </c:pt>
                <c:pt idx="10">
                  <c:v>186</c:v>
                </c:pt>
                <c:pt idx="11">
                  <c:v>187</c:v>
                </c:pt>
                <c:pt idx="12">
                  <c:v>186</c:v>
                </c:pt>
                <c:pt idx="13">
                  <c:v>181</c:v>
                </c:pt>
                <c:pt idx="14">
                  <c:v>180</c:v>
                </c:pt>
                <c:pt idx="15">
                  <c:v>179</c:v>
                </c:pt>
                <c:pt idx="16">
                  <c:v>177</c:v>
                </c:pt>
                <c:pt idx="17">
                  <c:v>175</c:v>
                </c:pt>
                <c:pt idx="18">
                  <c:v>171</c:v>
                </c:pt>
                <c:pt idx="19">
                  <c:v>169</c:v>
                </c:pt>
                <c:pt idx="20">
                  <c:v>169</c:v>
                </c:pt>
                <c:pt idx="21">
                  <c:v>166</c:v>
                </c:pt>
                <c:pt idx="22">
                  <c:v>161</c:v>
                </c:pt>
                <c:pt idx="23">
                  <c:v>157</c:v>
                </c:pt>
                <c:pt idx="24">
                  <c:v>156</c:v>
                </c:pt>
                <c:pt idx="25">
                  <c:v>158</c:v>
                </c:pt>
                <c:pt idx="26">
                  <c:v>164</c:v>
                </c:pt>
                <c:pt idx="27">
                  <c:v>168</c:v>
                </c:pt>
                <c:pt idx="28">
                  <c:v>169</c:v>
                </c:pt>
                <c:pt idx="29" formatCode="#,##0">
                  <c:v>171</c:v>
                </c:pt>
                <c:pt idx="30">
                  <c:v>171</c:v>
                </c:pt>
                <c:pt idx="31">
                  <c:v>171</c:v>
                </c:pt>
                <c:pt idx="32">
                  <c:v>171</c:v>
                </c:pt>
                <c:pt idx="33">
                  <c:v>171</c:v>
                </c:pt>
                <c:pt idx="34">
                  <c:v>171</c:v>
                </c:pt>
                <c:pt idx="35">
                  <c:v>171</c:v>
                </c:pt>
                <c:pt idx="36">
                  <c:v>171</c:v>
                </c:pt>
                <c:pt idx="37">
                  <c:v>171</c:v>
                </c:pt>
                <c:pt idx="38">
                  <c:v>171</c:v>
                </c:pt>
                <c:pt idx="39">
                  <c:v>171</c:v>
                </c:pt>
                <c:pt idx="40">
                  <c:v>171</c:v>
                </c:pt>
                <c:pt idx="41">
                  <c:v>169.29</c:v>
                </c:pt>
                <c:pt idx="42">
                  <c:v>167.59709999999998</c:v>
                </c:pt>
                <c:pt idx="43">
                  <c:v>165.92112899999998</c:v>
                </c:pt>
                <c:pt idx="44">
                  <c:v>164.26191770999998</c:v>
                </c:pt>
                <c:pt idx="45">
                  <c:v>162.61929853289999</c:v>
                </c:pt>
                <c:pt idx="46">
                  <c:v>160.99310554757099</c:v>
                </c:pt>
                <c:pt idx="47">
                  <c:v>159.38317449209529</c:v>
                </c:pt>
                <c:pt idx="48">
                  <c:v>157.78934274717435</c:v>
                </c:pt>
                <c:pt idx="49">
                  <c:v>156.21144931970261</c:v>
                </c:pt>
                <c:pt idx="50">
                  <c:v>154.64933482650559</c:v>
                </c:pt>
                <c:pt idx="51">
                  <c:v>152.32959480410801</c:v>
                </c:pt>
                <c:pt idx="52">
                  <c:v>150.0446508820464</c:v>
                </c:pt>
                <c:pt idx="53">
                  <c:v>147.79398111881571</c:v>
                </c:pt>
                <c:pt idx="54">
                  <c:v>145.57707140203348</c:v>
                </c:pt>
                <c:pt idx="55">
                  <c:v>143.39341533100298</c:v>
                </c:pt>
                <c:pt idx="56">
                  <c:v>141.24251410103793</c:v>
                </c:pt>
                <c:pt idx="57">
                  <c:v>139.12387638952237</c:v>
                </c:pt>
                <c:pt idx="58">
                  <c:v>137.03701824367954</c:v>
                </c:pt>
                <c:pt idx="59">
                  <c:v>134.98146297002435</c:v>
                </c:pt>
                <c:pt idx="60">
                  <c:v>132.95674102547397</c:v>
                </c:pt>
              </c:numCache>
            </c:numRef>
          </c:val>
          <c:extLst>
            <c:ext xmlns:c16="http://schemas.microsoft.com/office/drawing/2014/chart" uri="{C3380CC4-5D6E-409C-BE32-E72D297353CC}">
              <c16:uniqueId val="{00000000-9110-4487-AC63-5A310AFABC76}"/>
            </c:ext>
          </c:extLst>
        </c:ser>
        <c:ser>
          <c:idx val="1"/>
          <c:order val="1"/>
          <c:tx>
            <c:strRef>
              <c:f>'GHG emissions'!$AE$1</c:f>
              <c:strCache>
                <c:ptCount val="1"/>
                <c:pt idx="0">
                  <c:v>Beef Bulls enteric fermentation methane, kt</c:v>
                </c:pt>
              </c:strCache>
            </c:strRef>
          </c:tx>
          <c:spPr>
            <a:solidFill>
              <a:schemeClr val="accent2"/>
            </a:solidFill>
            <a:ln>
              <a:noFill/>
            </a:ln>
            <a:effectLst/>
          </c:spPr>
          <c:cat>
            <c:numRef>
              <c:f>'GHG emissions'!$A$2:$A$62</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'GHG emissions'!$AE$2:$AE$62</c:f>
              <c:numCache>
                <c:formatCode>General</c:formatCode>
                <c:ptCount val="61"/>
                <c:pt idx="0">
                  <c:v>196</c:v>
                </c:pt>
                <c:pt idx="1">
                  <c:v>200</c:v>
                </c:pt>
                <c:pt idx="2">
                  <c:v>209</c:v>
                </c:pt>
                <c:pt idx="3">
                  <c:v>214</c:v>
                </c:pt>
                <c:pt idx="4">
                  <c:v>218</c:v>
                </c:pt>
                <c:pt idx="5">
                  <c:v>225</c:v>
                </c:pt>
                <c:pt idx="6">
                  <c:v>225</c:v>
                </c:pt>
                <c:pt idx="7">
                  <c:v>222</c:v>
                </c:pt>
                <c:pt idx="8">
                  <c:v>216</c:v>
                </c:pt>
                <c:pt idx="9">
                  <c:v>216</c:v>
                </c:pt>
                <c:pt idx="10">
                  <c:v>215</c:v>
                </c:pt>
                <c:pt idx="11">
                  <c:v>213</c:v>
                </c:pt>
                <c:pt idx="12">
                  <c:v>211</c:v>
                </c:pt>
                <c:pt idx="13">
                  <c:v>215</c:v>
                </c:pt>
                <c:pt idx="14">
                  <c:v>212</c:v>
                </c:pt>
                <c:pt idx="15">
                  <c:v>214</c:v>
                </c:pt>
                <c:pt idx="16">
                  <c:v>220</c:v>
                </c:pt>
                <c:pt idx="17">
                  <c:v>217</c:v>
                </c:pt>
                <c:pt idx="18">
                  <c:v>216</c:v>
                </c:pt>
                <c:pt idx="19">
                  <c:v>214</c:v>
                </c:pt>
                <c:pt idx="20">
                  <c:v>215</c:v>
                </c:pt>
                <c:pt idx="21">
                  <c:v>212</c:v>
                </c:pt>
                <c:pt idx="22">
                  <c:v>206</c:v>
                </c:pt>
                <c:pt idx="23">
                  <c:v>203</c:v>
                </c:pt>
                <c:pt idx="24">
                  <c:v>200</c:v>
                </c:pt>
                <c:pt idx="25">
                  <c:v>207</c:v>
                </c:pt>
                <c:pt idx="26">
                  <c:v>210</c:v>
                </c:pt>
                <c:pt idx="27">
                  <c:v>220</c:v>
                </c:pt>
                <c:pt idx="28">
                  <c:v>221</c:v>
                </c:pt>
                <c:pt idx="29" formatCode="#,##0">
                  <c:v>221</c:v>
                </c:pt>
                <c:pt idx="30">
                  <c:v>221</c:v>
                </c:pt>
                <c:pt idx="31">
                  <c:v>221</c:v>
                </c:pt>
                <c:pt idx="32">
                  <c:v>221</c:v>
                </c:pt>
                <c:pt idx="33">
                  <c:v>221</c:v>
                </c:pt>
                <c:pt idx="34">
                  <c:v>221</c:v>
                </c:pt>
                <c:pt idx="35">
                  <c:v>221</c:v>
                </c:pt>
                <c:pt idx="36">
                  <c:v>221</c:v>
                </c:pt>
                <c:pt idx="37">
                  <c:v>221</c:v>
                </c:pt>
                <c:pt idx="38">
                  <c:v>221</c:v>
                </c:pt>
                <c:pt idx="39">
                  <c:v>221</c:v>
                </c:pt>
                <c:pt idx="40">
                  <c:v>221</c:v>
                </c:pt>
                <c:pt idx="41">
                  <c:v>218.79</c:v>
                </c:pt>
                <c:pt idx="42">
                  <c:v>216.60209999999998</c:v>
                </c:pt>
                <c:pt idx="43">
                  <c:v>214.43607899999998</c:v>
                </c:pt>
                <c:pt idx="44">
                  <c:v>212.29171820999997</c:v>
                </c:pt>
                <c:pt idx="45">
                  <c:v>210.16880102789997</c:v>
                </c:pt>
                <c:pt idx="46">
                  <c:v>208.06711301762098</c:v>
                </c:pt>
                <c:pt idx="47">
                  <c:v>205.98644188744478</c:v>
                </c:pt>
                <c:pt idx="48">
                  <c:v>203.92657746857034</c:v>
                </c:pt>
                <c:pt idx="49">
                  <c:v>201.88731169388464</c:v>
                </c:pt>
                <c:pt idx="50">
                  <c:v>199.86843857694581</c:v>
                </c:pt>
                <c:pt idx="51" formatCode="0.0">
                  <c:v>196.87041199829162</c:v>
                </c:pt>
                <c:pt idx="52" formatCode="0.0">
                  <c:v>193.91735581831725</c:v>
                </c:pt>
                <c:pt idx="53" formatCode="0.0">
                  <c:v>191.00859548104248</c:v>
                </c:pt>
                <c:pt idx="54" formatCode="0.0">
                  <c:v>188.14346654882684</c:v>
                </c:pt>
                <c:pt idx="55" formatCode="0.0">
                  <c:v>185.32131455059442</c:v>
                </c:pt>
                <c:pt idx="56" formatCode="0.0">
                  <c:v>182.5414948323355</c:v>
                </c:pt>
                <c:pt idx="57" formatCode="0.0">
                  <c:v>179.80337240985045</c:v>
                </c:pt>
                <c:pt idx="58" formatCode="0.0">
                  <c:v>177.1063218237027</c:v>
                </c:pt>
                <c:pt idx="59" formatCode="0.0">
                  <c:v>174.44972699634715</c:v>
                </c:pt>
                <c:pt idx="60" formatCode="0.0">
                  <c:v>171.83298109140193</c:v>
                </c:pt>
              </c:numCache>
            </c:numRef>
          </c:val>
          <c:extLst>
            <c:ext xmlns:c16="http://schemas.microsoft.com/office/drawing/2014/chart" uri="{C3380CC4-5D6E-409C-BE32-E72D297353CC}">
              <c16:uniqueId val="{00000001-9110-4487-AC63-5A310AFABC76}"/>
            </c:ext>
          </c:extLst>
        </c:ser>
        <c:ser>
          <c:idx val="2"/>
          <c:order val="2"/>
          <c:tx>
            <c:strRef>
              <c:f>'GHG emissions'!$AF$1</c:f>
              <c:strCache>
                <c:ptCount val="1"/>
                <c:pt idx="0">
                  <c:v>Beef Cows enteric fermentation methane, kt</c:v>
                </c:pt>
              </c:strCache>
            </c:strRef>
          </c:tx>
          <c:spPr>
            <a:solidFill>
              <a:schemeClr val="accent3"/>
            </a:solidFill>
            <a:ln>
              <a:noFill/>
            </a:ln>
            <a:effectLst/>
          </c:spPr>
          <c:cat>
            <c:numRef>
              <c:f>'GHG emissions'!$A$2:$A$62</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'GHG emissions'!$AF$2:$AF$62</c:f>
              <c:numCache>
                <c:formatCode>#,##0</c:formatCode>
                <c:ptCount val="61"/>
                <c:pt idx="0">
                  <c:v>2884</c:v>
                </c:pt>
                <c:pt idx="1">
                  <c:v>2895</c:v>
                </c:pt>
                <c:pt idx="2">
                  <c:v>2995</c:v>
                </c:pt>
                <c:pt idx="3">
                  <c:v>3053</c:v>
                </c:pt>
                <c:pt idx="4">
                  <c:v>3165</c:v>
                </c:pt>
                <c:pt idx="5">
                  <c:v>3222</c:v>
                </c:pt>
                <c:pt idx="6">
                  <c:v>3238</c:v>
                </c:pt>
                <c:pt idx="7">
                  <c:v>3160</c:v>
                </c:pt>
                <c:pt idx="8">
                  <c:v>3123</c:v>
                </c:pt>
                <c:pt idx="9">
                  <c:v>3104</c:v>
                </c:pt>
                <c:pt idx="10">
                  <c:v>3058</c:v>
                </c:pt>
                <c:pt idx="11">
                  <c:v>3041</c:v>
                </c:pt>
                <c:pt idx="12">
                  <c:v>3023</c:v>
                </c:pt>
                <c:pt idx="13">
                  <c:v>3057</c:v>
                </c:pt>
                <c:pt idx="14">
                  <c:v>3037</c:v>
                </c:pt>
                <c:pt idx="15">
                  <c:v>3056</c:v>
                </c:pt>
                <c:pt idx="16">
                  <c:v>3079</c:v>
                </c:pt>
                <c:pt idx="17">
                  <c:v>3089</c:v>
                </c:pt>
                <c:pt idx="18">
                  <c:v>3070</c:v>
                </c:pt>
                <c:pt idx="19">
                  <c:v>3010</c:v>
                </c:pt>
                <c:pt idx="20">
                  <c:v>2976</c:v>
                </c:pt>
                <c:pt idx="21">
                  <c:v>2927</c:v>
                </c:pt>
                <c:pt idx="22">
                  <c:v>2868</c:v>
                </c:pt>
                <c:pt idx="23">
                  <c:v>2806</c:v>
                </c:pt>
                <c:pt idx="24">
                  <c:v>2754</c:v>
                </c:pt>
                <c:pt idx="25">
                  <c:v>2774</c:v>
                </c:pt>
                <c:pt idx="26">
                  <c:v>2856</c:v>
                </c:pt>
                <c:pt idx="27">
                  <c:v>2954</c:v>
                </c:pt>
                <c:pt idx="28">
                  <c:v>2978</c:v>
                </c:pt>
                <c:pt idx="29" formatCode="#,##0.0">
                  <c:v>3000</c:v>
                </c:pt>
                <c:pt idx="30">
                  <c:v>3000</c:v>
                </c:pt>
                <c:pt idx="31">
                  <c:v>3000</c:v>
                </c:pt>
                <c:pt idx="32">
                  <c:v>3000</c:v>
                </c:pt>
                <c:pt idx="33">
                  <c:v>3000</c:v>
                </c:pt>
                <c:pt idx="34">
                  <c:v>3000</c:v>
                </c:pt>
                <c:pt idx="35">
                  <c:v>3000</c:v>
                </c:pt>
                <c:pt idx="36" formatCode="General">
                  <c:v>3000</c:v>
                </c:pt>
                <c:pt idx="37" formatCode="General">
                  <c:v>3000</c:v>
                </c:pt>
                <c:pt idx="38" formatCode="General">
                  <c:v>3000</c:v>
                </c:pt>
                <c:pt idx="39" formatCode="General">
                  <c:v>3000</c:v>
                </c:pt>
                <c:pt idx="40" formatCode="General">
                  <c:v>3000</c:v>
                </c:pt>
                <c:pt idx="41" formatCode="0.0">
                  <c:v>2970</c:v>
                </c:pt>
                <c:pt idx="42" formatCode="0.0">
                  <c:v>2940.3</c:v>
                </c:pt>
                <c:pt idx="43" formatCode="0.0">
                  <c:v>2910.8969999999999</c:v>
                </c:pt>
                <c:pt idx="44" formatCode="0.0">
                  <c:v>2881.7880299999997</c:v>
                </c:pt>
                <c:pt idx="45" formatCode="0.0">
                  <c:v>2852.9701496999996</c:v>
                </c:pt>
                <c:pt idx="46" formatCode="0.0">
                  <c:v>2824.4404482029995</c:v>
                </c:pt>
                <c:pt idx="47" formatCode="0.0">
                  <c:v>2796.1960437209696</c:v>
                </c:pt>
                <c:pt idx="48" formatCode="0.0">
                  <c:v>2768.2340832837599</c:v>
                </c:pt>
                <c:pt idx="49" formatCode="0.0">
                  <c:v>2740.5517424509221</c:v>
                </c:pt>
                <c:pt idx="50" formatCode="0.0">
                  <c:v>2713.146225026413</c:v>
                </c:pt>
                <c:pt idx="51" formatCode="0.0">
                  <c:v>2672.4490316510169</c:v>
                </c:pt>
                <c:pt idx="52" formatCode="0.0">
                  <c:v>2632.3622961762517</c:v>
                </c:pt>
                <c:pt idx="53" formatCode="0.0">
                  <c:v>2592.8768617336077</c:v>
                </c:pt>
                <c:pt idx="54" formatCode="0.0">
                  <c:v>2553.9837088076038</c:v>
                </c:pt>
                <c:pt idx="55" formatCode="0.0">
                  <c:v>2515.6739531754897</c:v>
                </c:pt>
                <c:pt idx="56" formatCode="0.0">
                  <c:v>2477.9388438778574</c:v>
                </c:pt>
                <c:pt idx="57" formatCode="0.0">
                  <c:v>2440.7697612196894</c:v>
                </c:pt>
                <c:pt idx="58" formatCode="0.0">
                  <c:v>2404.158214801394</c:v>
                </c:pt>
                <c:pt idx="59" formatCode="0.0">
                  <c:v>2368.095841579373</c:v>
                </c:pt>
                <c:pt idx="60" formatCode="0.0">
                  <c:v>2332.5744039556826</c:v>
                </c:pt>
              </c:numCache>
            </c:numRef>
          </c:val>
          <c:extLst>
            <c:ext xmlns:c16="http://schemas.microsoft.com/office/drawing/2014/chart" uri="{C3380CC4-5D6E-409C-BE32-E72D297353CC}">
              <c16:uniqueId val="{00000002-9110-4487-AC63-5A310AFABC76}"/>
            </c:ext>
          </c:extLst>
        </c:ser>
        <c:ser>
          <c:idx val="3"/>
          <c:order val="3"/>
          <c:tx>
            <c:strRef>
              <c:f>'GHG emissions'!$AG$1</c:f>
              <c:strCache>
                <c:ptCount val="1"/>
                <c:pt idx="0">
                  <c:v>Beef Replacements 7–11 months enteric fermentation methane, kt</c:v>
                </c:pt>
              </c:strCache>
            </c:strRef>
          </c:tx>
          <c:spPr>
            <a:solidFill>
              <a:schemeClr val="accent4"/>
            </a:solidFill>
            <a:ln>
              <a:noFill/>
            </a:ln>
            <a:effectLst/>
          </c:spPr>
          <c:cat>
            <c:numRef>
              <c:f>'GHG emissions'!$A$2:$A$62</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'GHG emissions'!$AG$2:$AG$62</c:f>
              <c:numCache>
                <c:formatCode>General</c:formatCode>
                <c:ptCount val="61"/>
                <c:pt idx="0">
                  <c:v>69</c:v>
                </c:pt>
                <c:pt idx="1">
                  <c:v>71</c:v>
                </c:pt>
                <c:pt idx="2">
                  <c:v>78</c:v>
                </c:pt>
                <c:pt idx="3">
                  <c:v>83</c:v>
                </c:pt>
                <c:pt idx="4">
                  <c:v>87</c:v>
                </c:pt>
                <c:pt idx="5">
                  <c:v>85</c:v>
                </c:pt>
                <c:pt idx="6">
                  <c:v>84</c:v>
                </c:pt>
                <c:pt idx="7">
                  <c:v>79</c:v>
                </c:pt>
                <c:pt idx="8">
                  <c:v>76</c:v>
                </c:pt>
                <c:pt idx="9">
                  <c:v>75</c:v>
                </c:pt>
                <c:pt idx="10">
                  <c:v>74</c:v>
                </c:pt>
                <c:pt idx="11">
                  <c:v>74</c:v>
                </c:pt>
                <c:pt idx="12">
                  <c:v>75</c:v>
                </c:pt>
                <c:pt idx="13">
                  <c:v>76</c:v>
                </c:pt>
                <c:pt idx="14">
                  <c:v>77</c:v>
                </c:pt>
                <c:pt idx="15">
                  <c:v>80</c:v>
                </c:pt>
                <c:pt idx="16">
                  <c:v>82</c:v>
                </c:pt>
                <c:pt idx="17">
                  <c:v>82</c:v>
                </c:pt>
                <c:pt idx="18">
                  <c:v>79</c:v>
                </c:pt>
                <c:pt idx="19">
                  <c:v>78</c:v>
                </c:pt>
                <c:pt idx="20">
                  <c:v>75</c:v>
                </c:pt>
                <c:pt idx="21">
                  <c:v>74</c:v>
                </c:pt>
                <c:pt idx="22">
                  <c:v>76</c:v>
                </c:pt>
                <c:pt idx="23">
                  <c:v>78</c:v>
                </c:pt>
                <c:pt idx="24">
                  <c:v>83</c:v>
                </c:pt>
                <c:pt idx="25">
                  <c:v>89</c:v>
                </c:pt>
                <c:pt idx="26">
                  <c:v>91</c:v>
                </c:pt>
                <c:pt idx="27">
                  <c:v>90</c:v>
                </c:pt>
                <c:pt idx="28">
                  <c:v>86</c:v>
                </c:pt>
                <c:pt idx="29" formatCode="#,##0">
                  <c:v>83</c:v>
                </c:pt>
                <c:pt idx="30">
                  <c:v>83</c:v>
                </c:pt>
                <c:pt idx="31">
                  <c:v>83</c:v>
                </c:pt>
                <c:pt idx="32">
                  <c:v>83</c:v>
                </c:pt>
                <c:pt idx="33">
                  <c:v>83</c:v>
                </c:pt>
                <c:pt idx="34">
                  <c:v>83</c:v>
                </c:pt>
                <c:pt idx="35">
                  <c:v>83</c:v>
                </c:pt>
                <c:pt idx="36">
                  <c:v>83</c:v>
                </c:pt>
                <c:pt idx="37">
                  <c:v>83</c:v>
                </c:pt>
                <c:pt idx="38">
                  <c:v>83</c:v>
                </c:pt>
                <c:pt idx="39">
                  <c:v>83</c:v>
                </c:pt>
                <c:pt idx="40">
                  <c:v>83</c:v>
                </c:pt>
                <c:pt idx="41">
                  <c:v>82.17</c:v>
                </c:pt>
                <c:pt idx="42">
                  <c:v>81.348299999999995</c:v>
                </c:pt>
                <c:pt idx="43">
                  <c:v>80.53481699999999</c:v>
                </c:pt>
                <c:pt idx="44">
                  <c:v>79.729468829999988</c:v>
                </c:pt>
                <c:pt idx="45">
                  <c:v>78.932174141699988</c:v>
                </c:pt>
                <c:pt idx="46">
                  <c:v>78.14285240028299</c:v>
                </c:pt>
                <c:pt idx="47">
                  <c:v>77.361423876280156</c:v>
                </c:pt>
                <c:pt idx="48">
                  <c:v>76.587809637517353</c:v>
                </c:pt>
                <c:pt idx="49">
                  <c:v>75.821931541142177</c:v>
                </c:pt>
                <c:pt idx="50">
                  <c:v>75.063712225730754</c:v>
                </c:pt>
                <c:pt idx="51" formatCode="0.0">
                  <c:v>73.937756542344786</c:v>
                </c:pt>
                <c:pt idx="52" formatCode="0.0">
                  <c:v>72.828690194209614</c:v>
                </c:pt>
                <c:pt idx="53" formatCode="0.0">
                  <c:v>71.736259841296473</c:v>
                </c:pt>
                <c:pt idx="54" formatCode="0.0">
                  <c:v>70.660215943677031</c:v>
                </c:pt>
                <c:pt idx="55" formatCode="0.0">
                  <c:v>69.600312704521869</c:v>
                </c:pt>
                <c:pt idx="56" formatCode="0.0">
                  <c:v>68.556308013954038</c:v>
                </c:pt>
                <c:pt idx="57" formatCode="0.0">
                  <c:v>67.527963393744727</c:v>
                </c:pt>
                <c:pt idx="58" formatCode="0.0">
                  <c:v>66.51504394283856</c:v>
                </c:pt>
                <c:pt idx="59" formatCode="0.0">
                  <c:v>65.517318283695985</c:v>
                </c:pt>
                <c:pt idx="60" formatCode="0.0">
                  <c:v>64.534558509440544</c:v>
                </c:pt>
              </c:numCache>
            </c:numRef>
          </c:val>
          <c:extLst>
            <c:ext xmlns:c16="http://schemas.microsoft.com/office/drawing/2014/chart" uri="{C3380CC4-5D6E-409C-BE32-E72D297353CC}">
              <c16:uniqueId val="{00000003-9110-4487-AC63-5A310AFABC76}"/>
            </c:ext>
          </c:extLst>
        </c:ser>
        <c:ser>
          <c:idx val="4"/>
          <c:order val="4"/>
          <c:tx>
            <c:strRef>
              <c:f>'GHG emissions'!$AH$1</c:f>
              <c:strCache>
                <c:ptCount val="1"/>
                <c:pt idx="0">
                  <c:v>Beef Replacements 12–23 months enteric fermentation methane, kt</c:v>
                </c:pt>
              </c:strCache>
            </c:strRef>
          </c:tx>
          <c:spPr>
            <a:solidFill>
              <a:schemeClr val="accent5"/>
            </a:solidFill>
            <a:ln>
              <a:noFill/>
            </a:ln>
            <a:effectLst/>
          </c:spPr>
          <c:cat>
            <c:numRef>
              <c:f>'GHG emissions'!$A$2:$A$62</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'GHG emissions'!$AH$2:$AH$62</c:f>
              <c:numCache>
                <c:formatCode>General</c:formatCode>
                <c:ptCount val="61"/>
                <c:pt idx="0">
                  <c:v>188</c:v>
                </c:pt>
                <c:pt idx="1">
                  <c:v>194</c:v>
                </c:pt>
                <c:pt idx="2">
                  <c:v>208</c:v>
                </c:pt>
                <c:pt idx="3">
                  <c:v>225</c:v>
                </c:pt>
                <c:pt idx="4">
                  <c:v>237</c:v>
                </c:pt>
                <c:pt idx="5">
                  <c:v>241</c:v>
                </c:pt>
                <c:pt idx="6">
                  <c:v>234</c:v>
                </c:pt>
                <c:pt idx="7">
                  <c:v>225</c:v>
                </c:pt>
                <c:pt idx="8">
                  <c:v>216</c:v>
                </c:pt>
                <c:pt idx="9">
                  <c:v>208</c:v>
                </c:pt>
                <c:pt idx="10">
                  <c:v>204</c:v>
                </c:pt>
                <c:pt idx="11">
                  <c:v>206</c:v>
                </c:pt>
                <c:pt idx="12">
                  <c:v>206</c:v>
                </c:pt>
                <c:pt idx="13">
                  <c:v>213</c:v>
                </c:pt>
                <c:pt idx="14">
                  <c:v>211</c:v>
                </c:pt>
                <c:pt idx="15">
                  <c:v>217</c:v>
                </c:pt>
                <c:pt idx="16">
                  <c:v>228</c:v>
                </c:pt>
                <c:pt idx="17">
                  <c:v>229</c:v>
                </c:pt>
                <c:pt idx="18">
                  <c:v>222</c:v>
                </c:pt>
                <c:pt idx="19">
                  <c:v>217</c:v>
                </c:pt>
                <c:pt idx="20">
                  <c:v>213</c:v>
                </c:pt>
                <c:pt idx="21">
                  <c:v>202</c:v>
                </c:pt>
                <c:pt idx="22">
                  <c:v>208</c:v>
                </c:pt>
                <c:pt idx="23">
                  <c:v>213</c:v>
                </c:pt>
                <c:pt idx="24">
                  <c:v>218</c:v>
                </c:pt>
                <c:pt idx="25">
                  <c:v>239</c:v>
                </c:pt>
                <c:pt idx="26">
                  <c:v>250</c:v>
                </c:pt>
                <c:pt idx="27">
                  <c:v>251</c:v>
                </c:pt>
                <c:pt idx="28">
                  <c:v>241</c:v>
                </c:pt>
                <c:pt idx="29" formatCode="#,##0">
                  <c:v>232</c:v>
                </c:pt>
                <c:pt idx="30">
                  <c:v>232</c:v>
                </c:pt>
                <c:pt idx="31">
                  <c:v>232</c:v>
                </c:pt>
                <c:pt idx="32">
                  <c:v>232</c:v>
                </c:pt>
                <c:pt idx="33">
                  <c:v>232</c:v>
                </c:pt>
                <c:pt idx="34">
                  <c:v>232</c:v>
                </c:pt>
                <c:pt idx="35">
                  <c:v>232</c:v>
                </c:pt>
                <c:pt idx="36">
                  <c:v>232</c:v>
                </c:pt>
                <c:pt idx="37">
                  <c:v>232</c:v>
                </c:pt>
                <c:pt idx="38">
                  <c:v>232</c:v>
                </c:pt>
                <c:pt idx="39">
                  <c:v>232</c:v>
                </c:pt>
                <c:pt idx="40">
                  <c:v>232</c:v>
                </c:pt>
                <c:pt idx="41">
                  <c:v>229.68</c:v>
                </c:pt>
                <c:pt idx="42">
                  <c:v>227.38320000000002</c:v>
                </c:pt>
                <c:pt idx="43">
                  <c:v>225.10936800000002</c:v>
                </c:pt>
                <c:pt idx="44">
                  <c:v>222.85827432000002</c:v>
                </c:pt>
                <c:pt idx="45">
                  <c:v>220.62969157680001</c:v>
                </c:pt>
                <c:pt idx="46">
                  <c:v>218.42339466103201</c:v>
                </c:pt>
                <c:pt idx="47">
                  <c:v>216.23916071442167</c:v>
                </c:pt>
                <c:pt idx="48">
                  <c:v>214.07676910727744</c:v>
                </c:pt>
                <c:pt idx="49">
                  <c:v>211.93600141620468</c:v>
                </c:pt>
                <c:pt idx="50">
                  <c:v>209.81664140204262</c:v>
                </c:pt>
                <c:pt idx="51" formatCode="0.0">
                  <c:v>206.66939178101197</c:v>
                </c:pt>
                <c:pt idx="52" formatCode="0.0">
                  <c:v>203.56935090429678</c:v>
                </c:pt>
                <c:pt idx="53" formatCode="0.0">
                  <c:v>200.51581064073233</c:v>
                </c:pt>
                <c:pt idx="54" formatCode="0.0">
                  <c:v>197.50807348112133</c:v>
                </c:pt>
                <c:pt idx="55" formatCode="0.0">
                  <c:v>194.54545237890451</c:v>
                </c:pt>
                <c:pt idx="56" formatCode="0.0">
                  <c:v>191.62727059322094</c:v>
                </c:pt>
                <c:pt idx="57" formatCode="0.0">
                  <c:v>188.75286153432262</c:v>
                </c:pt>
                <c:pt idx="58" formatCode="0.0">
                  <c:v>185.92156861130778</c:v>
                </c:pt>
                <c:pt idx="59" formatCode="0.0">
                  <c:v>183.13274508213814</c:v>
                </c:pt>
                <c:pt idx="60" formatCode="0.0">
                  <c:v>180.38575390590606</c:v>
                </c:pt>
              </c:numCache>
            </c:numRef>
          </c:val>
          <c:extLst>
            <c:ext xmlns:c16="http://schemas.microsoft.com/office/drawing/2014/chart" uri="{C3380CC4-5D6E-409C-BE32-E72D297353CC}">
              <c16:uniqueId val="{00000004-9110-4487-AC63-5A310AFABC76}"/>
            </c:ext>
          </c:extLst>
        </c:ser>
        <c:ser>
          <c:idx val="5"/>
          <c:order val="5"/>
          <c:tx>
            <c:strRef>
              <c:f>'GHG emissions'!$AI$1</c:f>
              <c:strCache>
                <c:ptCount val="1"/>
                <c:pt idx="0">
                  <c:v>Beef Steer Stockers enteric fermentation methane, kt</c:v>
                </c:pt>
              </c:strCache>
            </c:strRef>
          </c:tx>
          <c:spPr>
            <a:solidFill>
              <a:schemeClr val="accent6"/>
            </a:solidFill>
            <a:ln>
              <a:noFill/>
            </a:ln>
            <a:effectLst/>
          </c:spPr>
          <c:cat>
            <c:numRef>
              <c:f>'GHG emissions'!$A$2:$A$62</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'GHG emissions'!$AI$2:$AI$62</c:f>
              <c:numCache>
                <c:formatCode>General</c:formatCode>
                <c:ptCount val="61"/>
                <c:pt idx="0">
                  <c:v>563</c:v>
                </c:pt>
                <c:pt idx="1">
                  <c:v>556</c:v>
                </c:pt>
                <c:pt idx="2">
                  <c:v>617</c:v>
                </c:pt>
                <c:pt idx="3">
                  <c:v>637</c:v>
                </c:pt>
                <c:pt idx="4">
                  <c:v>609</c:v>
                </c:pt>
                <c:pt idx="5">
                  <c:v>662</c:v>
                </c:pt>
                <c:pt idx="6">
                  <c:v>639</c:v>
                </c:pt>
                <c:pt idx="7">
                  <c:v>608</c:v>
                </c:pt>
                <c:pt idx="8">
                  <c:v>598</c:v>
                </c:pt>
                <c:pt idx="9">
                  <c:v>561</c:v>
                </c:pt>
                <c:pt idx="10">
                  <c:v>509</c:v>
                </c:pt>
                <c:pt idx="11">
                  <c:v>506</c:v>
                </c:pt>
                <c:pt idx="12">
                  <c:v>517</c:v>
                </c:pt>
                <c:pt idx="13">
                  <c:v>485</c:v>
                </c:pt>
                <c:pt idx="14">
                  <c:v>465</c:v>
                </c:pt>
                <c:pt idx="15">
                  <c:v>473</c:v>
                </c:pt>
                <c:pt idx="16">
                  <c:v>475</c:v>
                </c:pt>
                <c:pt idx="17">
                  <c:v>480</c:v>
                </c:pt>
                <c:pt idx="18">
                  <c:v>476</c:v>
                </c:pt>
                <c:pt idx="19">
                  <c:v>494</c:v>
                </c:pt>
                <c:pt idx="20">
                  <c:v>476</c:v>
                </c:pt>
                <c:pt idx="21">
                  <c:v>436</c:v>
                </c:pt>
                <c:pt idx="22">
                  <c:v>413</c:v>
                </c:pt>
                <c:pt idx="23">
                  <c:v>431</c:v>
                </c:pt>
                <c:pt idx="24">
                  <c:v>426</c:v>
                </c:pt>
                <c:pt idx="25">
                  <c:v>433</c:v>
                </c:pt>
                <c:pt idx="26">
                  <c:v>472</c:v>
                </c:pt>
                <c:pt idx="27">
                  <c:v>461</c:v>
                </c:pt>
                <c:pt idx="28">
                  <c:v>465</c:v>
                </c:pt>
                <c:pt idx="29" formatCode="#,##0">
                  <c:v>472</c:v>
                </c:pt>
                <c:pt idx="30">
                  <c:v>472</c:v>
                </c:pt>
                <c:pt idx="31">
                  <c:v>472</c:v>
                </c:pt>
                <c:pt idx="32">
                  <c:v>472</c:v>
                </c:pt>
                <c:pt idx="33">
                  <c:v>472</c:v>
                </c:pt>
                <c:pt idx="34">
                  <c:v>472</c:v>
                </c:pt>
                <c:pt idx="35">
                  <c:v>472</c:v>
                </c:pt>
                <c:pt idx="36">
                  <c:v>472</c:v>
                </c:pt>
                <c:pt idx="37">
                  <c:v>472</c:v>
                </c:pt>
                <c:pt idx="38">
                  <c:v>472</c:v>
                </c:pt>
                <c:pt idx="39">
                  <c:v>472</c:v>
                </c:pt>
                <c:pt idx="40">
                  <c:v>472</c:v>
                </c:pt>
                <c:pt idx="41">
                  <c:v>467.28</c:v>
                </c:pt>
                <c:pt idx="42">
                  <c:v>462.60719999999998</c:v>
                </c:pt>
                <c:pt idx="43">
                  <c:v>457.98112799999996</c:v>
                </c:pt>
                <c:pt idx="44">
                  <c:v>453.40131671999995</c:v>
                </c:pt>
                <c:pt idx="45">
                  <c:v>448.86730355279997</c:v>
                </c:pt>
                <c:pt idx="46">
                  <c:v>444.37863051727197</c:v>
                </c:pt>
                <c:pt idx="47">
                  <c:v>439.93484421209922</c:v>
                </c:pt>
                <c:pt idx="48">
                  <c:v>435.53549576997824</c:v>
                </c:pt>
                <c:pt idx="49">
                  <c:v>431.18014081227847</c:v>
                </c:pt>
                <c:pt idx="50">
                  <c:v>426.86833940415568</c:v>
                </c:pt>
                <c:pt idx="51" formatCode="0.0">
                  <c:v>420.46531431309336</c:v>
                </c:pt>
                <c:pt idx="52" formatCode="0.0">
                  <c:v>414.15833459839695</c:v>
                </c:pt>
                <c:pt idx="53" formatCode="0.0">
                  <c:v>407.94595957942101</c:v>
                </c:pt>
                <c:pt idx="54" formatCode="0.0">
                  <c:v>401.82677018572969</c:v>
                </c:pt>
                <c:pt idx="55" formatCode="0.0">
                  <c:v>395.79936863294375</c:v>
                </c:pt>
                <c:pt idx="56" formatCode="0.0">
                  <c:v>389.8623781034496</c:v>
                </c:pt>
                <c:pt idx="57" formatCode="0.0">
                  <c:v>384.01444243189786</c:v>
                </c:pt>
                <c:pt idx="58" formatCode="0.0">
                  <c:v>378.25422579541942</c:v>
                </c:pt>
                <c:pt idx="59" formatCode="0.0">
                  <c:v>372.58041240848814</c:v>
                </c:pt>
                <c:pt idx="60" formatCode="0.0">
                  <c:v>366.99170622236079</c:v>
                </c:pt>
              </c:numCache>
            </c:numRef>
          </c:val>
          <c:extLst>
            <c:ext xmlns:c16="http://schemas.microsoft.com/office/drawing/2014/chart" uri="{C3380CC4-5D6E-409C-BE32-E72D297353CC}">
              <c16:uniqueId val="{00000005-9110-4487-AC63-5A310AFABC76}"/>
            </c:ext>
          </c:extLst>
        </c:ser>
        <c:ser>
          <c:idx val="6"/>
          <c:order val="6"/>
          <c:tx>
            <c:strRef>
              <c:f>'GHG emissions'!$AJ$1</c:f>
              <c:strCache>
                <c:ptCount val="1"/>
                <c:pt idx="0">
                  <c:v>Beef Heifer Stockers enteric fermentation methane, kt</c:v>
                </c:pt>
              </c:strCache>
            </c:strRef>
          </c:tx>
          <c:spPr>
            <a:solidFill>
              <a:schemeClr val="accent1">
                <a:lumMod val="60000"/>
              </a:schemeClr>
            </a:solidFill>
            <a:ln>
              <a:noFill/>
            </a:ln>
            <a:effectLst/>
          </c:spPr>
          <c:cat>
            <c:numRef>
              <c:f>'GHG emissions'!$A$2:$A$62</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'GHG emissions'!$AJ$2:$AJ$62</c:f>
              <c:numCache>
                <c:formatCode>General</c:formatCode>
                <c:ptCount val="61"/>
                <c:pt idx="0">
                  <c:v>306</c:v>
                </c:pt>
                <c:pt idx="1">
                  <c:v>303</c:v>
                </c:pt>
                <c:pt idx="2">
                  <c:v>325</c:v>
                </c:pt>
                <c:pt idx="3">
                  <c:v>344</c:v>
                </c:pt>
                <c:pt idx="4">
                  <c:v>346</c:v>
                </c:pt>
                <c:pt idx="5">
                  <c:v>375</c:v>
                </c:pt>
                <c:pt idx="6">
                  <c:v>373</c:v>
                </c:pt>
                <c:pt idx="7">
                  <c:v>366</c:v>
                </c:pt>
                <c:pt idx="8">
                  <c:v>363</c:v>
                </c:pt>
                <c:pt idx="9">
                  <c:v>351</c:v>
                </c:pt>
                <c:pt idx="10">
                  <c:v>323</c:v>
                </c:pt>
                <c:pt idx="11">
                  <c:v>322</c:v>
                </c:pt>
                <c:pt idx="12">
                  <c:v>323</c:v>
                </c:pt>
                <c:pt idx="13">
                  <c:v>305</c:v>
                </c:pt>
                <c:pt idx="14">
                  <c:v>292</c:v>
                </c:pt>
                <c:pt idx="15">
                  <c:v>299</c:v>
                </c:pt>
                <c:pt idx="16">
                  <c:v>299</c:v>
                </c:pt>
                <c:pt idx="17">
                  <c:v>296</c:v>
                </c:pt>
                <c:pt idx="18">
                  <c:v>290</c:v>
                </c:pt>
                <c:pt idx="19">
                  <c:v>301</c:v>
                </c:pt>
                <c:pt idx="20">
                  <c:v>302</c:v>
                </c:pt>
                <c:pt idx="21">
                  <c:v>283</c:v>
                </c:pt>
                <c:pt idx="22">
                  <c:v>266</c:v>
                </c:pt>
                <c:pt idx="23">
                  <c:v>267</c:v>
                </c:pt>
                <c:pt idx="24">
                  <c:v>256</c:v>
                </c:pt>
                <c:pt idx="25">
                  <c:v>263</c:v>
                </c:pt>
                <c:pt idx="26">
                  <c:v>289</c:v>
                </c:pt>
                <c:pt idx="27">
                  <c:v>286</c:v>
                </c:pt>
                <c:pt idx="28">
                  <c:v>297</c:v>
                </c:pt>
                <c:pt idx="29" formatCode="#,##0">
                  <c:v>306</c:v>
                </c:pt>
                <c:pt idx="30">
                  <c:v>306</c:v>
                </c:pt>
                <c:pt idx="31">
                  <c:v>306</c:v>
                </c:pt>
                <c:pt idx="32">
                  <c:v>306</c:v>
                </c:pt>
                <c:pt idx="33">
                  <c:v>306</c:v>
                </c:pt>
                <c:pt idx="34">
                  <c:v>306</c:v>
                </c:pt>
                <c:pt idx="35">
                  <c:v>306</c:v>
                </c:pt>
                <c:pt idx="36">
                  <c:v>306</c:v>
                </c:pt>
                <c:pt idx="37">
                  <c:v>306</c:v>
                </c:pt>
                <c:pt idx="38">
                  <c:v>306</c:v>
                </c:pt>
                <c:pt idx="39">
                  <c:v>306</c:v>
                </c:pt>
                <c:pt idx="40">
                  <c:v>306</c:v>
                </c:pt>
                <c:pt idx="41">
                  <c:v>302.94</c:v>
                </c:pt>
                <c:pt idx="42">
                  <c:v>299.91059999999999</c:v>
                </c:pt>
                <c:pt idx="43">
                  <c:v>296.911494</c:v>
                </c:pt>
                <c:pt idx="44">
                  <c:v>293.94237906000001</c:v>
                </c:pt>
                <c:pt idx="45">
                  <c:v>291.00295526939999</c:v>
                </c:pt>
                <c:pt idx="46">
                  <c:v>288.09292571670596</c:v>
                </c:pt>
                <c:pt idx="47">
                  <c:v>285.21199645953891</c:v>
                </c:pt>
                <c:pt idx="48">
                  <c:v>282.35987649494353</c:v>
                </c:pt>
                <c:pt idx="49">
                  <c:v>279.53627772999408</c:v>
                </c:pt>
                <c:pt idx="50">
                  <c:v>276.74091495269414</c:v>
                </c:pt>
                <c:pt idx="51" formatCode="0.0">
                  <c:v>272.5898012284037</c:v>
                </c:pt>
                <c:pt idx="52" formatCode="0.0">
                  <c:v>268.50095420997764</c:v>
                </c:pt>
                <c:pt idx="53" formatCode="0.0">
                  <c:v>264.47343989682798</c:v>
                </c:pt>
                <c:pt idx="54" formatCode="0.0">
                  <c:v>260.50633829837557</c:v>
                </c:pt>
                <c:pt idx="55" formatCode="0.0">
                  <c:v>256.59874322389993</c:v>
                </c:pt>
                <c:pt idx="56" formatCode="0.0">
                  <c:v>252.74976207554144</c:v>
                </c:pt>
                <c:pt idx="57" formatCode="0.0">
                  <c:v>248.95851564440832</c:v>
                </c:pt>
                <c:pt idx="58" formatCode="0.0">
                  <c:v>245.22413790974218</c:v>
                </c:pt>
                <c:pt idx="59" formatCode="0.0">
                  <c:v>241.54577584109606</c:v>
                </c:pt>
                <c:pt idx="60" formatCode="0.0">
                  <c:v>237.92258920347962</c:v>
                </c:pt>
              </c:numCache>
            </c:numRef>
          </c:val>
          <c:extLst>
            <c:ext xmlns:c16="http://schemas.microsoft.com/office/drawing/2014/chart" uri="{C3380CC4-5D6E-409C-BE32-E72D297353CC}">
              <c16:uniqueId val="{00000006-9110-4487-AC63-5A310AFABC76}"/>
            </c:ext>
          </c:extLst>
        </c:ser>
        <c:ser>
          <c:idx val="7"/>
          <c:order val="7"/>
          <c:tx>
            <c:strRef>
              <c:f>'GHG emissions'!$AK$1</c:f>
              <c:strCache>
                <c:ptCount val="1"/>
                <c:pt idx="0">
                  <c:v>Beef Feedlot Cattle enteric fermentation methane, kt</c:v>
                </c:pt>
              </c:strCache>
            </c:strRef>
          </c:tx>
          <c:spPr>
            <a:solidFill>
              <a:schemeClr val="accent2">
                <a:lumMod val="60000"/>
              </a:schemeClr>
            </a:solidFill>
            <a:ln>
              <a:noFill/>
            </a:ln>
            <a:effectLst/>
          </c:spPr>
          <c:cat>
            <c:numRef>
              <c:f>'GHG emissions'!$A$2:$A$62</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'GHG emissions'!$AK$2:$AK$62</c:f>
              <c:numCache>
                <c:formatCode>General</c:formatCode>
                <c:ptCount val="61"/>
                <c:pt idx="0">
                  <c:v>375</c:v>
                </c:pt>
                <c:pt idx="1">
                  <c:v>384</c:v>
                </c:pt>
                <c:pt idx="2">
                  <c:v>382</c:v>
                </c:pt>
                <c:pt idx="3">
                  <c:v>366</c:v>
                </c:pt>
                <c:pt idx="4">
                  <c:v>400</c:v>
                </c:pt>
                <c:pt idx="5">
                  <c:v>416</c:v>
                </c:pt>
                <c:pt idx="6">
                  <c:v>411</c:v>
                </c:pt>
                <c:pt idx="7">
                  <c:v>414</c:v>
                </c:pt>
                <c:pt idx="8">
                  <c:v>414</c:v>
                </c:pt>
                <c:pt idx="9">
                  <c:v>459</c:v>
                </c:pt>
                <c:pt idx="10">
                  <c:v>502</c:v>
                </c:pt>
                <c:pt idx="11">
                  <c:v>488</c:v>
                </c:pt>
                <c:pt idx="12">
                  <c:v>499</c:v>
                </c:pt>
                <c:pt idx="13">
                  <c:v>508</c:v>
                </c:pt>
                <c:pt idx="14">
                  <c:v>482</c:v>
                </c:pt>
                <c:pt idx="15">
                  <c:v>488</c:v>
                </c:pt>
                <c:pt idx="16">
                  <c:v>521</c:v>
                </c:pt>
                <c:pt idx="17">
                  <c:v>556</c:v>
                </c:pt>
                <c:pt idx="18">
                  <c:v>554</c:v>
                </c:pt>
                <c:pt idx="19">
                  <c:v>551</c:v>
                </c:pt>
                <c:pt idx="20">
                  <c:v>560</c:v>
                </c:pt>
                <c:pt idx="21">
                  <c:v>573</c:v>
                </c:pt>
                <c:pt idx="22">
                  <c:v>565</c:v>
                </c:pt>
                <c:pt idx="23">
                  <c:v>568</c:v>
                </c:pt>
                <c:pt idx="24">
                  <c:v>567</c:v>
                </c:pt>
                <c:pt idx="25">
                  <c:v>558</c:v>
                </c:pt>
                <c:pt idx="26">
                  <c:v>587</c:v>
                </c:pt>
                <c:pt idx="27">
                  <c:v>621</c:v>
                </c:pt>
                <c:pt idx="28">
                  <c:v>667</c:v>
                </c:pt>
                <c:pt idx="29" formatCode="#,##0">
                  <c:v>678</c:v>
                </c:pt>
                <c:pt idx="30">
                  <c:v>678</c:v>
                </c:pt>
                <c:pt idx="31">
                  <c:v>678</c:v>
                </c:pt>
                <c:pt idx="32">
                  <c:v>678</c:v>
                </c:pt>
                <c:pt idx="33">
                  <c:v>678</c:v>
                </c:pt>
                <c:pt idx="34">
                  <c:v>678</c:v>
                </c:pt>
                <c:pt idx="35">
                  <c:v>678</c:v>
                </c:pt>
                <c:pt idx="36">
                  <c:v>674.61</c:v>
                </c:pt>
                <c:pt idx="37">
                  <c:v>671.23694999999998</c:v>
                </c:pt>
                <c:pt idx="38">
                  <c:v>667.88076524999997</c:v>
                </c:pt>
                <c:pt idx="39">
                  <c:v>664.54136142375</c:v>
                </c:pt>
                <c:pt idx="40">
                  <c:v>661.21865461663128</c:v>
                </c:pt>
                <c:pt idx="41">
                  <c:v>654.60646807046498</c:v>
                </c:pt>
                <c:pt idx="42">
                  <c:v>648.06040338976038</c:v>
                </c:pt>
                <c:pt idx="43">
                  <c:v>641.57979935586275</c:v>
                </c:pt>
                <c:pt idx="44">
                  <c:v>635.16400136230413</c:v>
                </c:pt>
                <c:pt idx="45">
                  <c:v>628.81236134868107</c:v>
                </c:pt>
                <c:pt idx="46">
                  <c:v>622.52423773519422</c:v>
                </c:pt>
                <c:pt idx="47">
                  <c:v>616.29899535784227</c:v>
                </c:pt>
                <c:pt idx="48">
                  <c:v>610.13600540426387</c:v>
                </c:pt>
                <c:pt idx="49">
                  <c:v>604.03464535022124</c:v>
                </c:pt>
                <c:pt idx="50">
                  <c:v>597.99429889671899</c:v>
                </c:pt>
                <c:pt idx="51" formatCode="0.0">
                  <c:v>589.02438441326819</c:v>
                </c:pt>
                <c:pt idx="52" formatCode="0.0">
                  <c:v>580.18901864706913</c:v>
                </c:pt>
                <c:pt idx="53" formatCode="0.0">
                  <c:v>571.48618336736308</c:v>
                </c:pt>
                <c:pt idx="54" formatCode="0.0">
                  <c:v>562.91389061685265</c:v>
                </c:pt>
                <c:pt idx="55" formatCode="0.0">
                  <c:v>554.47018225759984</c:v>
                </c:pt>
                <c:pt idx="56" formatCode="0.0">
                  <c:v>546.15312952373586</c:v>
                </c:pt>
                <c:pt idx="57" formatCode="0.0">
                  <c:v>537.96083258087981</c:v>
                </c:pt>
                <c:pt idx="58" formatCode="0.0">
                  <c:v>529.89142009216664</c:v>
                </c:pt>
                <c:pt idx="59" formatCode="0.0">
                  <c:v>521.94304879078413</c:v>
                </c:pt>
                <c:pt idx="60" formatCode="0.0">
                  <c:v>514.11390305892235</c:v>
                </c:pt>
              </c:numCache>
            </c:numRef>
          </c:val>
          <c:extLst>
            <c:ext xmlns:c16="http://schemas.microsoft.com/office/drawing/2014/chart" uri="{C3380CC4-5D6E-409C-BE32-E72D297353CC}">
              <c16:uniqueId val="{00000007-9110-4487-AC63-5A310AFABC76}"/>
            </c:ext>
          </c:extLst>
        </c:ser>
        <c:dLbls>
          <c:showLegendKey val="0"/>
          <c:showVal val="0"/>
          <c:showCatName val="0"/>
          <c:showSerName val="0"/>
          <c:showPercent val="0"/>
          <c:showBubbleSize val="0"/>
        </c:dLbls>
        <c:axId val="1529878704"/>
        <c:axId val="1529874112"/>
      </c:areaChart>
      <c:catAx>
        <c:axId val="1529878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874112"/>
        <c:crosses val="autoZero"/>
        <c:auto val="1"/>
        <c:lblAlgn val="ctr"/>
        <c:lblOffset val="100"/>
        <c:noMultiLvlLbl val="0"/>
      </c:catAx>
      <c:valAx>
        <c:axId val="1529874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98787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beef cattle direct CO2we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areaChart>
        <c:grouping val="stacked"/>
        <c:varyColors val="0"/>
        <c:ser>
          <c:idx val="0"/>
          <c:order val="0"/>
          <c:tx>
            <c:strRef>
              <c:f>'GHG emissions'!$BR$1</c:f>
              <c:strCache>
                <c:ptCount val="1"/>
                <c:pt idx="0">
                  <c:v>CO2we beef cattle enteric fermentation, MMT</c:v>
                </c:pt>
              </c:strCache>
            </c:strRef>
          </c:tx>
          <c:spPr>
            <a:solidFill>
              <a:schemeClr val="accent1"/>
            </a:solidFill>
            <a:ln>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emissions'!$BR$22:$BR$62</c:f>
              <c:numCache>
                <c:formatCode>0.000</c:formatCode>
                <c:ptCount val="41"/>
                <c:pt idx="0">
                  <c:v>65.373559999999998</c:v>
                </c:pt>
                <c:pt idx="1">
                  <c:v>48.557320000000118</c:v>
                </c:pt>
                <c:pt idx="2">
                  <c:v>9.2579200000001265</c:v>
                </c:pt>
                <c:pt idx="3">
                  <c:v>-9.151520000000005</c:v>
                </c:pt>
                <c:pt idx="4">
                  <c:v>-34.032600000000002</c:v>
                </c:pt>
                <c:pt idx="5">
                  <c:v>-45.922519999999963</c:v>
                </c:pt>
                <c:pt idx="6">
                  <c:v>-17.841040000000021</c:v>
                </c:pt>
                <c:pt idx="7">
                  <c:v>14.855680000000007</c:v>
                </c:pt>
                <c:pt idx="8">
                  <c:v>32.325999999999908</c:v>
                </c:pt>
                <c:pt idx="9">
                  <c:v>40.827080000000024</c:v>
                </c:pt>
                <c:pt idx="10">
                  <c:v>51.544920000000047</c:v>
                </c:pt>
                <c:pt idx="11">
                  <c:v>55.471920000000068</c:v>
                </c:pt>
                <c:pt idx="12">
                  <c:v>55.114920000000097</c:v>
                </c:pt>
                <c:pt idx="13">
                  <c:v>54.995920000000069</c:v>
                </c:pt>
                <c:pt idx="14">
                  <c:v>65.110920000000078</c:v>
                </c:pt>
                <c:pt idx="15">
                  <c:v>59.041920000000118</c:v>
                </c:pt>
                <c:pt idx="16">
                  <c:v>49.805932399999961</c:v>
                </c:pt>
                <c:pt idx="17">
                  <c:v>44.380094738000139</c:v>
                </c:pt>
                <c:pt idx="18">
                  <c:v>49.309396264310067</c:v>
                </c:pt>
                <c:pt idx="19">
                  <c:v>54.121826282988422</c:v>
                </c:pt>
                <c:pt idx="20">
                  <c:v>59.650374151573487</c:v>
                </c:pt>
                <c:pt idx="21">
                  <c:v>66.331910410057844</c:v>
                </c:pt>
                <c:pt idx="22">
                  <c:v>72.95972130595726</c:v>
                </c:pt>
                <c:pt idx="23">
                  <c:v>71.441154092897705</c:v>
                </c:pt>
                <c:pt idx="24">
                  <c:v>72.485562551968769</c:v>
                </c:pt>
                <c:pt idx="25">
                  <c:v>58.837306926448946</c:v>
                </c:pt>
                <c:pt idx="26">
                  <c:v>29.186753857184613</c:v>
                </c:pt>
                <c:pt idx="27">
                  <c:v>7.2142763186126331</c:v>
                </c:pt>
                <c:pt idx="28">
                  <c:v>-7.5567464445734913</c:v>
                </c:pt>
                <c:pt idx="29">
                  <c:v>-17.982928980127781</c:v>
                </c:pt>
                <c:pt idx="30">
                  <c:v>-24.064879690326393</c:v>
                </c:pt>
                <c:pt idx="31">
                  <c:v>-32.919861494971769</c:v>
                </c:pt>
                <c:pt idx="32">
                  <c:v>-41.642018572547045</c:v>
                </c:pt>
                <c:pt idx="33">
                  <c:v>-50.233343293959024</c:v>
                </c:pt>
                <c:pt idx="34">
                  <c:v>-58.695798144549372</c:v>
                </c:pt>
                <c:pt idx="35">
                  <c:v>-67.031316172381253</c:v>
                </c:pt>
                <c:pt idx="36">
                  <c:v>-74.838391429795365</c:v>
                </c:pt>
                <c:pt idx="37">
                  <c:v>-82.524326458348696</c:v>
                </c:pt>
                <c:pt idx="38">
                  <c:v>-90.090958531973456</c:v>
                </c:pt>
                <c:pt idx="39">
                  <c:v>-97.540097264641076</c:v>
                </c:pt>
                <c:pt idx="40">
                  <c:v>-104.8735250257659</c:v>
                </c:pt>
              </c:numCache>
            </c:numRef>
          </c:val>
          <c:extLst>
            <c:ext xmlns:c16="http://schemas.microsoft.com/office/drawing/2014/chart" uri="{C3380CC4-5D6E-409C-BE32-E72D297353CC}">
              <c16:uniqueId val="{00000000-3421-4B4D-BFBE-7620FF593864}"/>
            </c:ext>
          </c:extLst>
        </c:ser>
        <c:ser>
          <c:idx val="1"/>
          <c:order val="1"/>
          <c:tx>
            <c:strRef>
              <c:f>'GHG emissions'!$BS$1</c:f>
              <c:strCache>
                <c:ptCount val="1"/>
                <c:pt idx="0">
                  <c:v>CO2we beef cattle managed manure, MMT</c:v>
                </c:pt>
              </c:strCache>
            </c:strRef>
          </c:tx>
          <c:spPr>
            <a:solidFill>
              <a:schemeClr val="accent2"/>
            </a:solidFill>
            <a:ln>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emissions'!$BS$22:$BS$62</c:f>
              <c:numCache>
                <c:formatCode>0.000</c:formatCode>
                <c:ptCount val="41"/>
                <c:pt idx="0">
                  <c:v>1.083599999999997</c:v>
                </c:pt>
                <c:pt idx="1">
                  <c:v>0.96180000000000021</c:v>
                </c:pt>
                <c:pt idx="2">
                  <c:v>0.23939999999999628</c:v>
                </c:pt>
                <c:pt idx="3">
                  <c:v>-0.61040000000000205</c:v>
                </c:pt>
                <c:pt idx="4">
                  <c:v>-1.4490000000000034</c:v>
                </c:pt>
                <c:pt idx="5">
                  <c:v>-1.1942000000000004</c:v>
                </c:pt>
                <c:pt idx="6">
                  <c:v>-0.10640000000000427</c:v>
                </c:pt>
                <c:pt idx="7">
                  <c:v>0.61879999999999846</c:v>
                </c:pt>
                <c:pt idx="8">
                  <c:v>0.14000000000000057</c:v>
                </c:pt>
                <c:pt idx="9">
                  <c:v>0.26179999999999737</c:v>
                </c:pt>
                <c:pt idx="10">
                  <c:v>0.85400000000000098</c:v>
                </c:pt>
                <c:pt idx="11">
                  <c:v>0.49700000000000166</c:v>
                </c:pt>
                <c:pt idx="12">
                  <c:v>0.85400000000000098</c:v>
                </c:pt>
                <c:pt idx="13">
                  <c:v>0.85400000000000098</c:v>
                </c:pt>
                <c:pt idx="14">
                  <c:v>1.0920000000000005</c:v>
                </c:pt>
                <c:pt idx="15">
                  <c:v>0.61600000000000144</c:v>
                </c:pt>
                <c:pt idx="16">
                  <c:v>0.14000000000000057</c:v>
                </c:pt>
                <c:pt idx="17">
                  <c:v>0.49700000000000166</c:v>
                </c:pt>
                <c:pt idx="18">
                  <c:v>0.97300000000000075</c:v>
                </c:pt>
                <c:pt idx="19">
                  <c:v>0.97300000000000075</c:v>
                </c:pt>
                <c:pt idx="20">
                  <c:v>0.73500000000000121</c:v>
                </c:pt>
                <c:pt idx="21">
                  <c:v>0.85400000000000098</c:v>
                </c:pt>
                <c:pt idx="22">
                  <c:v>1.2110000000000021</c:v>
                </c:pt>
                <c:pt idx="23">
                  <c:v>1.9250000000000007</c:v>
                </c:pt>
                <c:pt idx="24">
                  <c:v>2.163000000000002</c:v>
                </c:pt>
                <c:pt idx="25">
                  <c:v>1.4490000000000016</c:v>
                </c:pt>
                <c:pt idx="26">
                  <c:v>0.73500000000000121</c:v>
                </c:pt>
                <c:pt idx="27">
                  <c:v>0.25900000000000034</c:v>
                </c:pt>
                <c:pt idx="28">
                  <c:v>0.37800000000000011</c:v>
                </c:pt>
                <c:pt idx="29">
                  <c:v>0.25900000000000034</c:v>
                </c:pt>
                <c:pt idx="30">
                  <c:v>0.37800000000000011</c:v>
                </c:pt>
                <c:pt idx="31">
                  <c:v>0.37800000000000011</c:v>
                </c:pt>
                <c:pt idx="32">
                  <c:v>0.37800000000000011</c:v>
                </c:pt>
                <c:pt idx="33">
                  <c:v>0.37800000000000011</c:v>
                </c:pt>
                <c:pt idx="34">
                  <c:v>0.37800000000000011</c:v>
                </c:pt>
                <c:pt idx="35">
                  <c:v>0.37800000000000011</c:v>
                </c:pt>
                <c:pt idx="36">
                  <c:v>0.37800000000000011</c:v>
                </c:pt>
                <c:pt idx="37">
                  <c:v>0.37800000000000011</c:v>
                </c:pt>
                <c:pt idx="38">
                  <c:v>0.37800000000000011</c:v>
                </c:pt>
                <c:pt idx="39">
                  <c:v>0.37800000000000011</c:v>
                </c:pt>
                <c:pt idx="40">
                  <c:v>0.37800000000000011</c:v>
                </c:pt>
              </c:numCache>
            </c:numRef>
          </c:val>
          <c:extLst>
            <c:ext xmlns:c16="http://schemas.microsoft.com/office/drawing/2014/chart" uri="{C3380CC4-5D6E-409C-BE32-E72D297353CC}">
              <c16:uniqueId val="{00000001-3421-4B4D-BFBE-7620FF593864}"/>
            </c:ext>
          </c:extLst>
        </c:ser>
        <c:ser>
          <c:idx val="2"/>
          <c:order val="2"/>
          <c:tx>
            <c:strRef>
              <c:f>'GHG emissions'!$BT$1</c:f>
              <c:strCache>
                <c:ptCount val="1"/>
                <c:pt idx="0">
                  <c:v>Beef cattle manure nitrous oxide, MMT CO2we</c:v>
                </c:pt>
              </c:strCache>
            </c:strRef>
          </c:tx>
          <c:spPr>
            <a:solidFill>
              <a:schemeClr val="accent3"/>
            </a:solidFill>
            <a:ln>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emissions'!$BT$22:$BT$62</c:f>
              <c:numCache>
                <c:formatCode>General</c:formatCode>
                <c:ptCount val="41"/>
                <c:pt idx="0">
                  <c:v>6.7045000000000003</c:v>
                </c:pt>
                <c:pt idx="1">
                  <c:v>6.8635000000000002</c:v>
                </c:pt>
                <c:pt idx="2">
                  <c:v>6.8369999999999997</c:v>
                </c:pt>
                <c:pt idx="3">
                  <c:v>6.89</c:v>
                </c:pt>
                <c:pt idx="4">
                  <c:v>6.89</c:v>
                </c:pt>
                <c:pt idx="5">
                  <c:v>6.8369999999999997</c:v>
                </c:pt>
                <c:pt idx="6">
                  <c:v>7.2080000000000002</c:v>
                </c:pt>
                <c:pt idx="7">
                  <c:v>7.6055000000000001</c:v>
                </c:pt>
                <c:pt idx="8">
                  <c:v>8.2149999999999999</c:v>
                </c:pt>
                <c:pt idx="9">
                  <c:v>8.3475000000000001</c:v>
                </c:pt>
                <c:pt idx="10">
                  <c:v>8.3475000000000001</c:v>
                </c:pt>
                <c:pt idx="11">
                  <c:v>8.3475000000000001</c:v>
                </c:pt>
                <c:pt idx="12">
                  <c:v>8.3475000000000001</c:v>
                </c:pt>
                <c:pt idx="13">
                  <c:v>8.3475000000000001</c:v>
                </c:pt>
                <c:pt idx="14">
                  <c:v>8.3475000000000001</c:v>
                </c:pt>
                <c:pt idx="15">
                  <c:v>8.3475000000000001</c:v>
                </c:pt>
                <c:pt idx="16">
                  <c:v>8.3475000000000001</c:v>
                </c:pt>
                <c:pt idx="17">
                  <c:v>8.3475000000000001</c:v>
                </c:pt>
                <c:pt idx="18">
                  <c:v>8.3475000000000001</c:v>
                </c:pt>
                <c:pt idx="19">
                  <c:v>8.3475000000000001</c:v>
                </c:pt>
                <c:pt idx="20">
                  <c:v>8.3475000000000001</c:v>
                </c:pt>
                <c:pt idx="21">
                  <c:v>8.3475000000000001</c:v>
                </c:pt>
                <c:pt idx="22">
                  <c:v>8.3475000000000001</c:v>
                </c:pt>
                <c:pt idx="23">
                  <c:v>8.3475000000000001</c:v>
                </c:pt>
                <c:pt idx="24">
                  <c:v>8.3475000000000001</c:v>
                </c:pt>
                <c:pt idx="25">
                  <c:v>8.3475000000000001</c:v>
                </c:pt>
                <c:pt idx="26">
                  <c:v>8.3475000000000001</c:v>
                </c:pt>
                <c:pt idx="27">
                  <c:v>8.3475000000000001</c:v>
                </c:pt>
                <c:pt idx="28">
                  <c:v>8.3475000000000001</c:v>
                </c:pt>
                <c:pt idx="29">
                  <c:v>8.3475000000000001</c:v>
                </c:pt>
                <c:pt idx="30">
                  <c:v>8.3475000000000001</c:v>
                </c:pt>
                <c:pt idx="31">
                  <c:v>8.3475000000000001</c:v>
                </c:pt>
                <c:pt idx="32">
                  <c:v>8.3475000000000001</c:v>
                </c:pt>
                <c:pt idx="33">
                  <c:v>8.3475000000000001</c:v>
                </c:pt>
                <c:pt idx="34">
                  <c:v>8.3475000000000001</c:v>
                </c:pt>
                <c:pt idx="35">
                  <c:v>8.3475000000000001</c:v>
                </c:pt>
                <c:pt idx="36">
                  <c:v>8.3475000000000001</c:v>
                </c:pt>
                <c:pt idx="37">
                  <c:v>8.3475000000000001</c:v>
                </c:pt>
                <c:pt idx="38">
                  <c:v>8.3475000000000001</c:v>
                </c:pt>
                <c:pt idx="39">
                  <c:v>8.3475000000000001</c:v>
                </c:pt>
                <c:pt idx="40">
                  <c:v>8.3475000000000001</c:v>
                </c:pt>
              </c:numCache>
            </c:numRef>
          </c:val>
          <c:extLst>
            <c:ext xmlns:c16="http://schemas.microsoft.com/office/drawing/2014/chart" uri="{C3380CC4-5D6E-409C-BE32-E72D297353CC}">
              <c16:uniqueId val="{00000002-3421-4B4D-BFBE-7620FF593864}"/>
            </c:ext>
          </c:extLst>
        </c:ser>
        <c:dLbls>
          <c:showLegendKey val="0"/>
          <c:showVal val="0"/>
          <c:showCatName val="0"/>
          <c:showSerName val="0"/>
          <c:showPercent val="0"/>
          <c:showBubbleSize val="0"/>
        </c:dLbls>
        <c:axId val="1524535264"/>
        <c:axId val="1524535592"/>
      </c:areaChart>
      <c:catAx>
        <c:axId val="1524535264"/>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24535592"/>
        <c:crosses val="autoZero"/>
        <c:auto val="1"/>
        <c:lblAlgn val="ctr"/>
        <c:lblOffset val="100"/>
        <c:noMultiLvlLbl val="0"/>
      </c:catAx>
      <c:valAx>
        <c:axId val="152453559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245352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beef and dairy production cradle-to-farm gate CO2we emissions, MMT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areaChart>
        <c:grouping val="stacked"/>
        <c:varyColors val="0"/>
        <c:ser>
          <c:idx val="1"/>
          <c:order val="0"/>
          <c:tx>
            <c:strRef>
              <c:f>'GHG emissions'!$CH$1</c:f>
              <c:strCache>
                <c:ptCount val="1"/>
                <c:pt idx="0">
                  <c:v>Total beef cattle production CO2we emissions, MMT</c:v>
                </c:pt>
              </c:strCache>
            </c:strRef>
          </c:tx>
          <c:spPr>
            <a:solidFill>
              <a:schemeClr val="accent2"/>
            </a:solidFill>
            <a:ln>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emissions'!$CH$22:$CH$62</c:f>
              <c:numCache>
                <c:formatCode>0.00</c:formatCode>
                <c:ptCount val="41"/>
                <c:pt idx="0">
                  <c:v>174.90626904827133</c:v>
                </c:pt>
                <c:pt idx="1">
                  <c:v>158.12722904827149</c:v>
                </c:pt>
                <c:pt idx="2">
                  <c:v>118.07892904827148</c:v>
                </c:pt>
                <c:pt idx="3">
                  <c:v>98.872689048271354</c:v>
                </c:pt>
                <c:pt idx="4">
                  <c:v>73.153009048271343</c:v>
                </c:pt>
                <c:pt idx="5">
                  <c:v>61.464889048271388</c:v>
                </c:pt>
                <c:pt idx="6">
                  <c:v>91.005169048271327</c:v>
                </c:pt>
                <c:pt idx="7">
                  <c:v>124.82458904827136</c:v>
                </c:pt>
                <c:pt idx="8">
                  <c:v>142.42560904827127</c:v>
                </c:pt>
                <c:pt idx="9">
                  <c:v>151.18098904827139</c:v>
                </c:pt>
                <c:pt idx="10">
                  <c:v>162.4910290482714</c:v>
                </c:pt>
                <c:pt idx="11">
                  <c:v>166.06102904827142</c:v>
                </c:pt>
                <c:pt idx="12">
                  <c:v>166.06102904827145</c:v>
                </c:pt>
                <c:pt idx="13">
                  <c:v>165.94202904827142</c:v>
                </c:pt>
                <c:pt idx="14">
                  <c:v>176.29502904827143</c:v>
                </c:pt>
                <c:pt idx="15">
                  <c:v>169.75002904827147</c:v>
                </c:pt>
                <c:pt idx="16">
                  <c:v>159.27495688040929</c:v>
                </c:pt>
                <c:pt idx="17">
                  <c:v>153.44875778480639</c:v>
                </c:pt>
                <c:pt idx="18">
                  <c:v>158.10237808826528</c:v>
                </c:pt>
                <c:pt idx="19">
                  <c:v>162.16876449326398</c:v>
                </c:pt>
                <c:pt idx="20">
                  <c:v>166.71886407527199</c:v>
                </c:pt>
                <c:pt idx="21">
                  <c:v>172.53954043451935</c:v>
                </c:pt>
                <c:pt idx="22">
                  <c:v>178.55429003017417</c:v>
                </c:pt>
                <c:pt idx="23">
                  <c:v>176.78936212987242</c:v>
                </c:pt>
                <c:pt idx="24">
                  <c:v>177.12101350857375</c:v>
                </c:pt>
                <c:pt idx="25">
                  <c:v>161.81750837348787</c:v>
                </c:pt>
                <c:pt idx="26">
                  <c:v>130.52111828975313</c:v>
                </c:pt>
                <c:pt idx="27">
                  <c:v>107.15012210685548</c:v>
                </c:pt>
                <c:pt idx="28">
                  <c:v>91.58480588578692</c:v>
                </c:pt>
                <c:pt idx="29">
                  <c:v>80.135462826929029</c:v>
                </c:pt>
                <c:pt idx="30">
                  <c:v>73.277393198659851</c:v>
                </c:pt>
                <c:pt idx="31">
                  <c:v>62.650075936234742</c:v>
                </c:pt>
                <c:pt idx="32">
                  <c:v>52.191030110035342</c:v>
                </c:pt>
                <c:pt idx="33">
                  <c:v>41.897554414971708</c:v>
                </c:pt>
                <c:pt idx="34">
                  <c:v>31.766991610202737</c:v>
                </c:pt>
                <c:pt idx="35">
                  <c:v>21.796727787275813</c:v>
                </c:pt>
                <c:pt idx="36">
                  <c:v>12.387601650668557</c:v>
                </c:pt>
                <c:pt idx="37">
                  <c:v>3.1316567605059475</c:v>
                </c:pt>
                <c:pt idx="38">
                  <c:v>-5.9735849774959036</c:v>
                </c:pt>
                <c:pt idx="39">
                  <c:v>-14.930561181253083</c:v>
                </c:pt>
                <c:pt idx="40">
                  <c:v>-23.741669664045673</c:v>
                </c:pt>
              </c:numCache>
            </c:numRef>
          </c:val>
          <c:extLst>
            <c:ext xmlns:c16="http://schemas.microsoft.com/office/drawing/2014/chart" uri="{C3380CC4-5D6E-409C-BE32-E72D297353CC}">
              <c16:uniqueId val="{00000001-15EB-4654-B21D-5C2AD4797A46}"/>
            </c:ext>
          </c:extLst>
        </c:ser>
        <c:ser>
          <c:idx val="0"/>
          <c:order val="1"/>
          <c:tx>
            <c:strRef>
              <c:f>'GHG emissions'!$CM$1</c:f>
              <c:strCache>
                <c:ptCount val="1"/>
                <c:pt idx="0">
                  <c:v>Total dairy cattle production CO2we emissions, MMT</c:v>
                </c:pt>
              </c:strCache>
            </c:strRef>
          </c:tx>
          <c:spPr>
            <a:solidFill>
              <a:schemeClr val="accent1"/>
            </a:solidFill>
            <a:ln>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emissions'!$CM$22:$CM$62</c:f>
              <c:numCache>
                <c:formatCode>0.00</c:formatCode>
                <c:ptCount val="41"/>
                <c:pt idx="0">
                  <c:v>120.19650269016884</c:v>
                </c:pt>
                <c:pt idx="1">
                  <c:v>124.73892269016888</c:v>
                </c:pt>
                <c:pt idx="2">
                  <c:v>137.94688269016888</c:v>
                </c:pt>
                <c:pt idx="3">
                  <c:v>133.18670269016886</c:v>
                </c:pt>
                <c:pt idx="4">
                  <c:v>136.03662269016888</c:v>
                </c:pt>
                <c:pt idx="5">
                  <c:v>142.07292269016881</c:v>
                </c:pt>
                <c:pt idx="6">
                  <c:v>148.16720269016884</c:v>
                </c:pt>
                <c:pt idx="7">
                  <c:v>147.74766269016882</c:v>
                </c:pt>
                <c:pt idx="8">
                  <c:v>149.51090269016882</c:v>
                </c:pt>
                <c:pt idx="9">
                  <c:v>134.47156269016884</c:v>
                </c:pt>
                <c:pt idx="10">
                  <c:v>127.90371549016886</c:v>
                </c:pt>
                <c:pt idx="11">
                  <c:v>122.50194567896888</c:v>
                </c:pt>
                <c:pt idx="12">
                  <c:v>119.12574294701366</c:v>
                </c:pt>
                <c:pt idx="13">
                  <c:v>112.77709702598628</c:v>
                </c:pt>
                <c:pt idx="14">
                  <c:v>123.447997688643</c:v>
                </c:pt>
                <c:pt idx="15">
                  <c:v>112.70143474864911</c:v>
                </c:pt>
                <c:pt idx="16">
                  <c:v>104.82495947908802</c:v>
                </c:pt>
                <c:pt idx="17">
                  <c:v>81.376557893215136</c:v>
                </c:pt>
                <c:pt idx="18">
                  <c:v>76.866062760183553</c:v>
                </c:pt>
                <c:pt idx="19">
                  <c:v>72.491308496480741</c:v>
                </c:pt>
                <c:pt idx="20">
                  <c:v>70.751131149641736</c:v>
                </c:pt>
                <c:pt idx="21">
                  <c:v>62.012122698729684</c:v>
                </c:pt>
                <c:pt idx="22">
                  <c:v>49.637500725417965</c:v>
                </c:pt>
                <c:pt idx="23">
                  <c:v>48.739563119034216</c:v>
                </c:pt>
                <c:pt idx="24">
                  <c:v>40.15861731370132</c:v>
                </c:pt>
                <c:pt idx="25">
                  <c:v>27.820980155033844</c:v>
                </c:pt>
                <c:pt idx="26">
                  <c:v>18.865977768736013</c:v>
                </c:pt>
                <c:pt idx="27">
                  <c:v>12.697945431072391</c:v>
                </c:pt>
                <c:pt idx="28">
                  <c:v>4.5562274411849693</c:v>
                </c:pt>
                <c:pt idx="29">
                  <c:v>3.8411769952301249</c:v>
                </c:pt>
                <c:pt idx="30">
                  <c:v>0.68467606230796818</c:v>
                </c:pt>
                <c:pt idx="31">
                  <c:v>-3.4222148706835895</c:v>
                </c:pt>
                <c:pt idx="32">
                  <c:v>-7.4588219363191328</c:v>
                </c:pt>
                <c:pt idx="33">
                  <c:v>-11.426267032738306</c:v>
                </c:pt>
                <c:pt idx="34">
                  <c:v>-15.32565430068578</c:v>
                </c:pt>
                <c:pt idx="35">
                  <c:v>-19.158070406755353</c:v>
                </c:pt>
                <c:pt idx="36">
                  <c:v>-21.985197742055654</c:v>
                </c:pt>
                <c:pt idx="37">
                  <c:v>-24.759887079464015</c:v>
                </c:pt>
                <c:pt idx="38">
                  <c:v>-27.483036214801523</c:v>
                </c:pt>
                <c:pt idx="39">
                  <c:v>-30.155527995286416</c:v>
                </c:pt>
                <c:pt idx="40">
                  <c:v>-32.778230566017783</c:v>
                </c:pt>
              </c:numCache>
            </c:numRef>
          </c:val>
          <c:extLst>
            <c:ext xmlns:c16="http://schemas.microsoft.com/office/drawing/2014/chart" uri="{C3380CC4-5D6E-409C-BE32-E72D297353CC}">
              <c16:uniqueId val="{00000000-15EB-4654-B21D-5C2AD4797A46}"/>
            </c:ext>
          </c:extLst>
        </c:ser>
        <c:dLbls>
          <c:showLegendKey val="0"/>
          <c:showVal val="0"/>
          <c:showCatName val="0"/>
          <c:showSerName val="0"/>
          <c:showPercent val="0"/>
          <c:showBubbleSize val="0"/>
        </c:dLbls>
        <c:axId val="1461625824"/>
        <c:axId val="1461631400"/>
      </c:areaChart>
      <c:catAx>
        <c:axId val="14616258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1631400"/>
        <c:crosses val="autoZero"/>
        <c:auto val="1"/>
        <c:lblAlgn val="ctr"/>
        <c:lblOffset val="100"/>
        <c:noMultiLvlLbl val="0"/>
      </c:catAx>
      <c:valAx>
        <c:axId val="14616314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16258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US beef and dairy cattle production cradle-to-farm gate CO2we emissions, MMT</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stacked"/>
        <c:varyColors val="0"/>
        <c:ser>
          <c:idx val="0"/>
          <c:order val="0"/>
          <c:tx>
            <c:strRef>
              <c:f>'GHG emissions'!$CO$1</c:f>
              <c:strCache>
                <c:ptCount val="1"/>
                <c:pt idx="0">
                  <c:v>Total US cattle production CO2we, MMT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emissions'!$CO$22:$CO$62</c:f>
              <c:numCache>
                <c:formatCode>0.00</c:formatCode>
                <c:ptCount val="41"/>
                <c:pt idx="0">
                  <c:v>295.1027717384402</c:v>
                </c:pt>
                <c:pt idx="1">
                  <c:v>282.86615173844035</c:v>
                </c:pt>
                <c:pt idx="2">
                  <c:v>256.02581173844032</c:v>
                </c:pt>
                <c:pt idx="3">
                  <c:v>232.05939173844021</c:v>
                </c:pt>
                <c:pt idx="4">
                  <c:v>209.18963173844023</c:v>
                </c:pt>
                <c:pt idx="5">
                  <c:v>203.53781173844021</c:v>
                </c:pt>
                <c:pt idx="6">
                  <c:v>239.17237173844018</c:v>
                </c:pt>
                <c:pt idx="7">
                  <c:v>272.57225173844017</c:v>
                </c:pt>
                <c:pt idx="8">
                  <c:v>291.93651173844012</c:v>
                </c:pt>
                <c:pt idx="9">
                  <c:v>285.65255173844025</c:v>
                </c:pt>
                <c:pt idx="10">
                  <c:v>290.39474453844025</c:v>
                </c:pt>
                <c:pt idx="11">
                  <c:v>288.56297472724032</c:v>
                </c:pt>
                <c:pt idx="12">
                  <c:v>285.18677199528508</c:v>
                </c:pt>
                <c:pt idx="13">
                  <c:v>278.7191260742577</c:v>
                </c:pt>
                <c:pt idx="14">
                  <c:v>299.74302673691443</c:v>
                </c:pt>
                <c:pt idx="15">
                  <c:v>282.45146379692056</c:v>
                </c:pt>
                <c:pt idx="16">
                  <c:v>264.09991635949734</c:v>
                </c:pt>
                <c:pt idx="17">
                  <c:v>234.82531567802152</c:v>
                </c:pt>
                <c:pt idx="18">
                  <c:v>234.96844084844884</c:v>
                </c:pt>
                <c:pt idx="19">
                  <c:v>234.66007298974472</c:v>
                </c:pt>
                <c:pt idx="20">
                  <c:v>237.46999522491373</c:v>
                </c:pt>
                <c:pt idx="21">
                  <c:v>234.55166313324904</c:v>
                </c:pt>
                <c:pt idx="22">
                  <c:v>228.19179075559214</c:v>
                </c:pt>
                <c:pt idx="23">
                  <c:v>225.52892524890663</c:v>
                </c:pt>
                <c:pt idx="24">
                  <c:v>217.27963082227507</c:v>
                </c:pt>
                <c:pt idx="25">
                  <c:v>189.63848852852172</c:v>
                </c:pt>
                <c:pt idx="26">
                  <c:v>149.38709605848913</c:v>
                </c:pt>
                <c:pt idx="27">
                  <c:v>119.84806753792788</c:v>
                </c:pt>
                <c:pt idx="28">
                  <c:v>96.141033326971893</c:v>
                </c:pt>
                <c:pt idx="29">
                  <c:v>83.976639822159157</c:v>
                </c:pt>
                <c:pt idx="30">
                  <c:v>73.962069260967823</c:v>
                </c:pt>
                <c:pt idx="31">
                  <c:v>59.227861065551153</c:v>
                </c:pt>
                <c:pt idx="32">
                  <c:v>44.732208173716209</c:v>
                </c:pt>
                <c:pt idx="33">
                  <c:v>30.471287382233402</c:v>
                </c:pt>
                <c:pt idx="34">
                  <c:v>16.441337309516957</c:v>
                </c:pt>
                <c:pt idx="35">
                  <c:v>2.6386573805204598</c:v>
                </c:pt>
                <c:pt idx="36">
                  <c:v>-9.5975960913870964</c:v>
                </c:pt>
                <c:pt idx="37">
                  <c:v>-21.628230318958067</c:v>
                </c:pt>
                <c:pt idx="38">
                  <c:v>-33.456621192297426</c:v>
                </c:pt>
                <c:pt idx="39">
                  <c:v>-45.086089176539502</c:v>
                </c:pt>
                <c:pt idx="40">
                  <c:v>-56.519900230063456</c:v>
                </c:pt>
              </c:numCache>
            </c:numRef>
          </c:val>
          <c:extLst>
            <c:ext xmlns:c16="http://schemas.microsoft.com/office/drawing/2014/chart" uri="{C3380CC4-5D6E-409C-BE32-E72D297353CC}">
              <c16:uniqueId val="{00000001-52E6-4887-B3FB-02BB22A88F91}"/>
            </c:ext>
          </c:extLst>
        </c:ser>
        <c:dLbls>
          <c:dLblPos val="inEnd"/>
          <c:showLegendKey val="0"/>
          <c:showVal val="1"/>
          <c:showCatName val="0"/>
          <c:showSerName val="0"/>
          <c:showPercent val="0"/>
          <c:showBubbleSize val="0"/>
        </c:dLbls>
        <c:gapWidth val="150"/>
        <c:overlap val="100"/>
        <c:axId val="1461625824"/>
        <c:axId val="1461631400"/>
      </c:barChart>
      <c:catAx>
        <c:axId val="14616258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461631400"/>
        <c:crosses val="autoZero"/>
        <c:auto val="1"/>
        <c:lblAlgn val="ctr"/>
        <c:lblOffset val="100"/>
        <c:noMultiLvlLbl val="0"/>
      </c:catAx>
      <c:valAx>
        <c:axId val="14616314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461625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Dairy GHG Emissions in CO2we, MMT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'GHG emissions'!$BW$1</c:f>
              <c:strCache>
                <c:ptCount val="1"/>
                <c:pt idx="0">
                  <c:v>CO2we dairy cattle managed manure methane, MMT</c:v>
                </c:pt>
              </c:strCache>
            </c:strRef>
          </c:tx>
          <c:spPr>
            <a:solidFill>
              <a:schemeClr val="accent2"/>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emissions'!$BW$22:$BW$62</c:f>
              <c:numCache>
                <c:formatCode>0.000</c:formatCode>
                <c:ptCount val="41"/>
                <c:pt idx="0">
                  <c:v>72.477160000000012</c:v>
                </c:pt>
                <c:pt idx="1">
                  <c:v>72.87196000000003</c:v>
                </c:pt>
                <c:pt idx="2">
                  <c:v>80.356920000000017</c:v>
                </c:pt>
                <c:pt idx="3">
                  <c:v>74.956279999999992</c:v>
                </c:pt>
                <c:pt idx="4">
                  <c:v>72.99460000000002</c:v>
                </c:pt>
                <c:pt idx="5">
                  <c:v>74.997720000000001</c:v>
                </c:pt>
                <c:pt idx="6">
                  <c:v>76.986560000000011</c:v>
                </c:pt>
                <c:pt idx="7">
                  <c:v>74.811800000000005</c:v>
                </c:pt>
                <c:pt idx="8">
                  <c:v>73.318279999999987</c:v>
                </c:pt>
                <c:pt idx="9">
                  <c:v>65.021040000000013</c:v>
                </c:pt>
                <c:pt idx="10">
                  <c:v>60.330692800000008</c:v>
                </c:pt>
                <c:pt idx="11">
                  <c:v>53.738922988800027</c:v>
                </c:pt>
                <c:pt idx="12">
                  <c:v>50.719720256844809</c:v>
                </c:pt>
                <c:pt idx="13">
                  <c:v>45.323074335817424</c:v>
                </c:pt>
                <c:pt idx="14">
                  <c:v>50.757974998474154</c:v>
                </c:pt>
                <c:pt idx="15">
                  <c:v>43.224412058480254</c:v>
                </c:pt>
                <c:pt idx="16">
                  <c:v>39.271820337895434</c:v>
                </c:pt>
                <c:pt idx="17">
                  <c:v>24.02995453451652</c:v>
                </c:pt>
                <c:pt idx="18">
                  <c:v>22.369657389171323</c:v>
                </c:pt>
                <c:pt idx="19">
                  <c:v>20.129773215279641</c:v>
                </c:pt>
                <c:pt idx="20">
                  <c:v>17.191147883126831</c:v>
                </c:pt>
                <c:pt idx="21">
                  <c:v>12.567869264879931</c:v>
                </c:pt>
                <c:pt idx="22">
                  <c:v>5.1222398259067177</c:v>
                </c:pt>
                <c:pt idx="23">
                  <c:v>5.4447548285181142</c:v>
                </c:pt>
                <c:pt idx="24">
                  <c:v>0.56391710609037204</c:v>
                </c:pt>
                <c:pt idx="25">
                  <c:v>-6.6647630505009943</c:v>
                </c:pt>
                <c:pt idx="26">
                  <c:v>-11.838768004743486</c:v>
                </c:pt>
                <c:pt idx="27">
                  <c:v>-15.196572884672321</c:v>
                </c:pt>
                <c:pt idx="28">
                  <c:v>-19.832645691402234</c:v>
                </c:pt>
                <c:pt idx="29">
                  <c:v>-20.511447406031209</c:v>
                </c:pt>
                <c:pt idx="30">
                  <c:v>-21.864912094940763</c:v>
                </c:pt>
                <c:pt idx="31">
                  <c:v>-23.191425093516642</c:v>
                </c:pt>
                <c:pt idx="32">
                  <c:v>-24.491417275993896</c:v>
                </c:pt>
                <c:pt idx="33">
                  <c:v>-25.765312947098479</c:v>
                </c:pt>
                <c:pt idx="34">
                  <c:v>-27.013529941015506</c:v>
                </c:pt>
                <c:pt idx="35">
                  <c:v>-28.236479718871294</c:v>
                </c:pt>
                <c:pt idx="36">
                  <c:v>-28.549333714753274</c:v>
                </c:pt>
                <c:pt idx="37">
                  <c:v>-28.850117952780408</c:v>
                </c:pt>
                <c:pt idx="38">
                  <c:v>-29.139087248799626</c:v>
                </c:pt>
                <c:pt idx="39">
                  <c:v>-29.41649185872545</c:v>
                </c:pt>
                <c:pt idx="40">
                  <c:v>-29.682577554315799</c:v>
                </c:pt>
              </c:numCache>
            </c:numRef>
          </c:val>
          <c:extLst>
            <c:ext xmlns:c16="http://schemas.microsoft.com/office/drawing/2014/chart" uri="{C3380CC4-5D6E-409C-BE32-E72D297353CC}">
              <c16:uniqueId val="{00000002-D4B8-465D-AF91-87CCEC5EC755}"/>
            </c:ext>
          </c:extLst>
        </c:ser>
        <c:ser>
          <c:idx val="0"/>
          <c:order val="1"/>
          <c:tx>
            <c:strRef>
              <c:f>'GHG emissions'!$BV$1</c:f>
              <c:strCache>
                <c:ptCount val="1"/>
                <c:pt idx="0">
                  <c:v>CO2we dairy cattle enteric fermentation, MMT</c:v>
                </c:pt>
              </c:strCache>
            </c:strRef>
          </c:tx>
          <c:spPr>
            <a:solidFill>
              <a:schemeClr val="accent1"/>
            </a:solidFill>
            <a:ln>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emissions'!$BV$22:$BV$62</c:f>
              <c:numCache>
                <c:formatCode>0.000</c:formatCode>
                <c:ptCount val="41"/>
                <c:pt idx="0">
                  <c:v>19.06268</c:v>
                </c:pt>
                <c:pt idx="1">
                  <c:v>23.130800000000022</c:v>
                </c:pt>
                <c:pt idx="2">
                  <c:v>28.800800000000038</c:v>
                </c:pt>
                <c:pt idx="3">
                  <c:v>29.467760000000027</c:v>
                </c:pt>
                <c:pt idx="4">
                  <c:v>34.226360000000028</c:v>
                </c:pt>
                <c:pt idx="5">
                  <c:v>38.127039999999994</c:v>
                </c:pt>
                <c:pt idx="6">
                  <c:v>42.179480000000012</c:v>
                </c:pt>
                <c:pt idx="7">
                  <c:v>43.908199999999994</c:v>
                </c:pt>
                <c:pt idx="8">
                  <c:v>47.11196000000001</c:v>
                </c:pt>
                <c:pt idx="9">
                  <c:v>40.449360000000013</c:v>
                </c:pt>
                <c:pt idx="10">
                  <c:v>38.545360000000016</c:v>
                </c:pt>
                <c:pt idx="11">
                  <c:v>39.735360000000014</c:v>
                </c:pt>
                <c:pt idx="12">
                  <c:v>39.378360000000015</c:v>
                </c:pt>
                <c:pt idx="13">
                  <c:v>38.426360000000017</c:v>
                </c:pt>
                <c:pt idx="14">
                  <c:v>43.662360000000007</c:v>
                </c:pt>
                <c:pt idx="15">
                  <c:v>40.449360000000013</c:v>
                </c:pt>
                <c:pt idx="16">
                  <c:v>36.70263892120002</c:v>
                </c:pt>
                <c:pt idx="17">
                  <c:v>28.671936890355994</c:v>
                </c:pt>
                <c:pt idx="18">
                  <c:v>25.996253901182172</c:v>
                </c:pt>
                <c:pt idx="19">
                  <c:v>24.034589947394778</c:v>
                </c:pt>
                <c:pt idx="20">
                  <c:v>25.404945022712127</c:v>
                </c:pt>
                <c:pt idx="21">
                  <c:v>21.516705572484994</c:v>
                </c:pt>
                <c:pt idx="22">
                  <c:v>16.812928516760138</c:v>
                </c:pt>
                <c:pt idx="23">
                  <c:v>15.815439231592507</c:v>
                </c:pt>
                <c:pt idx="24">
                  <c:v>12.336064839276588</c:v>
                </c:pt>
                <c:pt idx="25">
                  <c:v>7.4456341908838226</c:v>
                </c:pt>
                <c:pt idx="26">
                  <c:v>3.8809778489749931</c:v>
                </c:pt>
                <c:pt idx="27">
                  <c:v>1.2849280704852504</c:v>
                </c:pt>
                <c:pt idx="28">
                  <c:v>-2.0086812102196632</c:v>
                </c:pt>
                <c:pt idx="29">
                  <c:v>-1.8350143981174654</c:v>
                </c:pt>
                <c:pt idx="30">
                  <c:v>-3.4302342541362805</c:v>
                </c:pt>
                <c:pt idx="31">
                  <c:v>-5.7991357403242603</c:v>
                </c:pt>
                <c:pt idx="32">
                  <c:v>-8.1325037042194026</c:v>
                </c:pt>
                <c:pt idx="33">
                  <c:v>-10.430871148656109</c:v>
                </c:pt>
                <c:pt idx="34">
                  <c:v>-12.694763081426231</c:v>
                </c:pt>
                <c:pt idx="35">
                  <c:v>-14.924696635204896</c:v>
                </c:pt>
                <c:pt idx="36">
                  <c:v>-17.067027855676798</c:v>
                </c:pt>
                <c:pt idx="37">
                  <c:v>-19.176429678490535</c:v>
                </c:pt>
                <c:pt idx="38">
                  <c:v>-21.253396306772686</c:v>
                </c:pt>
                <c:pt idx="39">
                  <c:v>-23.298414530516339</c:v>
                </c:pt>
                <c:pt idx="40">
                  <c:v>-25.311963837778251</c:v>
                </c:pt>
              </c:numCache>
            </c:numRef>
          </c:val>
          <c:extLst>
            <c:ext xmlns:c16="http://schemas.microsoft.com/office/drawing/2014/chart" uri="{C3380CC4-5D6E-409C-BE32-E72D297353CC}">
              <c16:uniqueId val="{00000000-D4B8-465D-AF91-87CCEC5EC755}"/>
            </c:ext>
          </c:extLst>
        </c:ser>
        <c:ser>
          <c:idx val="2"/>
          <c:order val="2"/>
          <c:tx>
            <c:strRef>
              <c:f>'GHG emissions'!$BX$1</c:f>
              <c:strCache>
                <c:ptCount val="1"/>
                <c:pt idx="0">
                  <c:v>Dairy cattle manure nitrous oxide, MMT CO2we</c:v>
                </c:pt>
              </c:strCache>
            </c:strRef>
          </c:tx>
          <c:spPr>
            <a:solidFill>
              <a:schemeClr val="accent3"/>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emissions'!$BX$22:$BX$62</c:f>
              <c:numCache>
                <c:formatCode>General</c:formatCode>
                <c:ptCount val="41"/>
                <c:pt idx="0">
                  <c:v>5.0350000000000001</c:v>
                </c:pt>
                <c:pt idx="1">
                  <c:v>5.1144999999999996</c:v>
                </c:pt>
                <c:pt idx="2">
                  <c:v>5.1675000000000004</c:v>
                </c:pt>
                <c:pt idx="3">
                  <c:v>5.141</c:v>
                </c:pt>
                <c:pt idx="4">
                  <c:v>5.194</c:v>
                </c:pt>
                <c:pt idx="5">
                  <c:v>5.3265000000000002</c:v>
                </c:pt>
                <c:pt idx="6">
                  <c:v>5.3795000000000002</c:v>
                </c:pt>
                <c:pt idx="7">
                  <c:v>5.4059999999999997</c:v>
                </c:pt>
                <c:pt idx="8">
                  <c:v>5.4589999999999996</c:v>
                </c:pt>
                <c:pt idx="9">
                  <c:v>5.3795000000000002</c:v>
                </c:pt>
                <c:pt idx="10">
                  <c:v>5.4059999999999997</c:v>
                </c:pt>
                <c:pt idx="11">
                  <c:v>5.4059999999999997</c:v>
                </c:pt>
                <c:pt idx="12">
                  <c:v>5.4059999999999997</c:v>
                </c:pt>
                <c:pt idx="13">
                  <c:v>5.4059999999999997</c:v>
                </c:pt>
                <c:pt idx="14">
                  <c:v>5.4059999999999997</c:v>
                </c:pt>
                <c:pt idx="15">
                  <c:v>5.4059999999999997</c:v>
                </c:pt>
                <c:pt idx="16">
                  <c:v>5.4059999999999997</c:v>
                </c:pt>
                <c:pt idx="17">
                  <c:v>5.4059999999999997</c:v>
                </c:pt>
                <c:pt idx="18">
                  <c:v>5.4059999999999997</c:v>
                </c:pt>
                <c:pt idx="19">
                  <c:v>5.4059999999999997</c:v>
                </c:pt>
                <c:pt idx="20">
                  <c:v>5.4059999999999997</c:v>
                </c:pt>
                <c:pt idx="21">
                  <c:v>5.4059999999999997</c:v>
                </c:pt>
                <c:pt idx="22">
                  <c:v>5.4059999999999997</c:v>
                </c:pt>
                <c:pt idx="23">
                  <c:v>5.4059999999999997</c:v>
                </c:pt>
                <c:pt idx="24">
                  <c:v>5.4059999999999997</c:v>
                </c:pt>
                <c:pt idx="25">
                  <c:v>5.4059999999999997</c:v>
                </c:pt>
                <c:pt idx="26">
                  <c:v>5.4059999999999997</c:v>
                </c:pt>
                <c:pt idx="27">
                  <c:v>5.4059999999999997</c:v>
                </c:pt>
                <c:pt idx="28">
                  <c:v>5.4059999999999997</c:v>
                </c:pt>
                <c:pt idx="29">
                  <c:v>5.4059999999999997</c:v>
                </c:pt>
                <c:pt idx="30">
                  <c:v>5.4059999999999997</c:v>
                </c:pt>
                <c:pt idx="31">
                  <c:v>5.4059999999999997</c:v>
                </c:pt>
                <c:pt idx="32">
                  <c:v>5.4059999999999997</c:v>
                </c:pt>
                <c:pt idx="33">
                  <c:v>5.4059999999999997</c:v>
                </c:pt>
                <c:pt idx="34">
                  <c:v>5.4059999999999997</c:v>
                </c:pt>
                <c:pt idx="35">
                  <c:v>5.4059999999999997</c:v>
                </c:pt>
                <c:pt idx="36">
                  <c:v>5.4059999999999997</c:v>
                </c:pt>
                <c:pt idx="37">
                  <c:v>5.4059999999999997</c:v>
                </c:pt>
                <c:pt idx="38">
                  <c:v>5.4059999999999997</c:v>
                </c:pt>
                <c:pt idx="39">
                  <c:v>5.4059999999999997</c:v>
                </c:pt>
                <c:pt idx="40">
                  <c:v>5.4059999999999997</c:v>
                </c:pt>
              </c:numCache>
            </c:numRef>
          </c:val>
          <c:extLst>
            <c:ext xmlns:c16="http://schemas.microsoft.com/office/drawing/2014/chart" uri="{C3380CC4-5D6E-409C-BE32-E72D297353CC}">
              <c16:uniqueId val="{00000003-D4B8-465D-AF91-87CCEC5EC755}"/>
            </c:ext>
          </c:extLst>
        </c:ser>
        <c:ser>
          <c:idx val="3"/>
          <c:order val="3"/>
          <c:tx>
            <c:strRef>
              <c:f>'GHG emissions'!$CC$1</c:f>
              <c:strCache>
                <c:ptCount val="1"/>
                <c:pt idx="0">
                  <c:v>Estimated non-direct GHG emissions associated with US dairy cattle production, MMT CO2e</c:v>
                </c:pt>
              </c:strCache>
            </c:strRef>
          </c:tx>
          <c:spPr>
            <a:solidFill>
              <a:schemeClr val="accent4"/>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emissions'!$CC$22:$CC$62</c:f>
              <c:numCache>
                <c:formatCode>0.0000</c:formatCode>
                <c:ptCount val="41"/>
                <c:pt idx="0">
                  <c:v>23.621662690168829</c:v>
                </c:pt>
                <c:pt idx="1">
                  <c:v>23.621662690168829</c:v>
                </c:pt>
                <c:pt idx="2">
                  <c:v>23.621662690168829</c:v>
                </c:pt>
                <c:pt idx="3">
                  <c:v>23.621662690168829</c:v>
                </c:pt>
                <c:pt idx="4">
                  <c:v>23.621662690168829</c:v>
                </c:pt>
                <c:pt idx="5">
                  <c:v>23.621662690168829</c:v>
                </c:pt>
                <c:pt idx="6">
                  <c:v>23.621662690168829</c:v>
                </c:pt>
                <c:pt idx="7">
                  <c:v>23.621662690168829</c:v>
                </c:pt>
                <c:pt idx="8">
                  <c:v>23.621662690168829</c:v>
                </c:pt>
                <c:pt idx="9">
                  <c:v>23.621662690168829</c:v>
                </c:pt>
                <c:pt idx="10">
                  <c:v>23.621662690168829</c:v>
                </c:pt>
                <c:pt idx="11">
                  <c:v>23.621662690168829</c:v>
                </c:pt>
                <c:pt idx="12">
                  <c:v>23.621662690168829</c:v>
                </c:pt>
                <c:pt idx="13">
                  <c:v>23.621662690168829</c:v>
                </c:pt>
                <c:pt idx="14">
                  <c:v>23.621662690168829</c:v>
                </c:pt>
                <c:pt idx="15">
                  <c:v>23.621662690168829</c:v>
                </c:pt>
                <c:pt idx="16">
                  <c:v>23.444500219992566</c:v>
                </c:pt>
                <c:pt idx="17">
                  <c:v>23.268666468342623</c:v>
                </c:pt>
                <c:pt idx="18">
                  <c:v>23.094151469830056</c:v>
                </c:pt>
                <c:pt idx="19">
                  <c:v>22.92094533380633</c:v>
                </c:pt>
                <c:pt idx="20">
                  <c:v>22.749038243802783</c:v>
                </c:pt>
                <c:pt idx="21">
                  <c:v>22.521547861364756</c:v>
                </c:pt>
                <c:pt idx="22">
                  <c:v>22.296332382751107</c:v>
                </c:pt>
                <c:pt idx="23">
                  <c:v>22.073369058923596</c:v>
                </c:pt>
                <c:pt idx="24">
                  <c:v>21.852635368334361</c:v>
                </c:pt>
                <c:pt idx="25">
                  <c:v>21.634109014651017</c:v>
                </c:pt>
                <c:pt idx="26">
                  <c:v>21.417767924504506</c:v>
                </c:pt>
                <c:pt idx="27">
                  <c:v>21.203590245259463</c:v>
                </c:pt>
                <c:pt idx="28">
                  <c:v>20.991554342806868</c:v>
                </c:pt>
                <c:pt idx="29">
                  <c:v>20.781638799378801</c:v>
                </c:pt>
                <c:pt idx="30">
                  <c:v>20.573822411385013</c:v>
                </c:pt>
                <c:pt idx="31">
                  <c:v>20.162345963157314</c:v>
                </c:pt>
                <c:pt idx="32">
                  <c:v>19.759099043894167</c:v>
                </c:pt>
                <c:pt idx="33">
                  <c:v>19.363917063016284</c:v>
                </c:pt>
                <c:pt idx="34">
                  <c:v>18.976638721755958</c:v>
                </c:pt>
                <c:pt idx="35">
                  <c:v>18.597105947320838</c:v>
                </c:pt>
                <c:pt idx="36">
                  <c:v>18.22516382837442</c:v>
                </c:pt>
                <c:pt idx="37">
                  <c:v>17.86066055180693</c:v>
                </c:pt>
                <c:pt idx="38">
                  <c:v>17.503447340770791</c:v>
                </c:pt>
                <c:pt idx="39">
                  <c:v>17.153378393955375</c:v>
                </c:pt>
                <c:pt idx="40">
                  <c:v>16.810310826076268</c:v>
                </c:pt>
              </c:numCache>
            </c:numRef>
          </c:val>
          <c:extLst>
            <c:ext xmlns:c16="http://schemas.microsoft.com/office/drawing/2014/chart" uri="{C3380CC4-5D6E-409C-BE32-E72D297353CC}">
              <c16:uniqueId val="{00000004-D4B8-465D-AF91-87CCEC5EC755}"/>
            </c:ext>
          </c:extLst>
        </c:ser>
        <c:dLbls>
          <c:showLegendKey val="0"/>
          <c:showVal val="0"/>
          <c:showCatName val="0"/>
          <c:showSerName val="0"/>
          <c:showPercent val="0"/>
          <c:showBubbleSize val="0"/>
        </c:dLbls>
        <c:axId val="849075880"/>
        <c:axId val="849081456"/>
      </c:areaChart>
      <c:catAx>
        <c:axId val="8490758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081456"/>
        <c:crosses val="autoZero"/>
        <c:auto val="1"/>
        <c:lblAlgn val="ctr"/>
        <c:lblOffset val="100"/>
        <c:noMultiLvlLbl val="0"/>
      </c:catAx>
      <c:valAx>
        <c:axId val="84908145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075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Dairy Cattle production GHG emissions in CO2e, MMT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'GHG emissions'!$BH$1</c:f>
              <c:strCache>
                <c:ptCount val="1"/>
                <c:pt idx="0">
                  <c:v>Dairy cattle managed manure N2O, CO2e MMT</c:v>
                </c:pt>
              </c:strCache>
            </c:strRef>
          </c:tx>
          <c:spPr>
            <a:solidFill>
              <a:schemeClr val="accent3"/>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emissions'!$BH$22:$BH$62</c:f>
              <c:numCache>
                <c:formatCode>General</c:formatCode>
                <c:ptCount val="41"/>
                <c:pt idx="0">
                  <c:v>5.0350000000000001</c:v>
                </c:pt>
                <c:pt idx="1">
                  <c:v>5.1145000000000005</c:v>
                </c:pt>
                <c:pt idx="2">
                  <c:v>5.1675000000000004</c:v>
                </c:pt>
                <c:pt idx="3">
                  <c:v>5.1409999999999991</c:v>
                </c:pt>
                <c:pt idx="4">
                  <c:v>5.1940000000000008</c:v>
                </c:pt>
                <c:pt idx="5">
                  <c:v>5.3265000000000002</c:v>
                </c:pt>
                <c:pt idx="6">
                  <c:v>5.3795000000000002</c:v>
                </c:pt>
                <c:pt idx="7">
                  <c:v>5.4059999999999997</c:v>
                </c:pt>
                <c:pt idx="8">
                  <c:v>5.4589999999999996</c:v>
                </c:pt>
                <c:pt idx="9">
                  <c:v>5.3795000000000002</c:v>
                </c:pt>
                <c:pt idx="10">
                  <c:v>5.4059999999999997</c:v>
                </c:pt>
                <c:pt idx="11">
                  <c:v>5.4059999999999997</c:v>
                </c:pt>
                <c:pt idx="12">
                  <c:v>5.4059999999999997</c:v>
                </c:pt>
                <c:pt idx="13">
                  <c:v>5.4059999999999997</c:v>
                </c:pt>
                <c:pt idx="14">
                  <c:v>5.4059999999999997</c:v>
                </c:pt>
                <c:pt idx="15">
                  <c:v>5.4059999999999997</c:v>
                </c:pt>
                <c:pt idx="16">
                  <c:v>5.4059999999999997</c:v>
                </c:pt>
                <c:pt idx="17">
                  <c:v>5.4059999999999997</c:v>
                </c:pt>
                <c:pt idx="18">
                  <c:v>5.4059999999999997</c:v>
                </c:pt>
                <c:pt idx="19">
                  <c:v>5.4059999999999997</c:v>
                </c:pt>
                <c:pt idx="20">
                  <c:v>5.4059999999999997</c:v>
                </c:pt>
                <c:pt idx="21">
                  <c:v>5.4059999999999997</c:v>
                </c:pt>
                <c:pt idx="22">
                  <c:v>5.4059999999999997</c:v>
                </c:pt>
                <c:pt idx="23">
                  <c:v>5.4059999999999997</c:v>
                </c:pt>
                <c:pt idx="24">
                  <c:v>5.4059999999999997</c:v>
                </c:pt>
                <c:pt idx="25">
                  <c:v>5.4059999999999997</c:v>
                </c:pt>
                <c:pt idx="26">
                  <c:v>5.4059999999999997</c:v>
                </c:pt>
                <c:pt idx="27">
                  <c:v>5.4059999999999997</c:v>
                </c:pt>
                <c:pt idx="28">
                  <c:v>5.4059999999999997</c:v>
                </c:pt>
                <c:pt idx="29">
                  <c:v>5.4059999999999997</c:v>
                </c:pt>
                <c:pt idx="30">
                  <c:v>5.4059999999999997</c:v>
                </c:pt>
                <c:pt idx="31">
                  <c:v>5.4059999999999997</c:v>
                </c:pt>
                <c:pt idx="32">
                  <c:v>5.4059999999999997</c:v>
                </c:pt>
                <c:pt idx="33">
                  <c:v>5.4059999999999997</c:v>
                </c:pt>
                <c:pt idx="34">
                  <c:v>5.4059999999999997</c:v>
                </c:pt>
                <c:pt idx="35">
                  <c:v>5.4059999999999997</c:v>
                </c:pt>
                <c:pt idx="36">
                  <c:v>5.4059999999999997</c:v>
                </c:pt>
                <c:pt idx="37">
                  <c:v>5.4059999999999997</c:v>
                </c:pt>
                <c:pt idx="38">
                  <c:v>5.4059999999999997</c:v>
                </c:pt>
                <c:pt idx="39">
                  <c:v>5.4059999999999997</c:v>
                </c:pt>
                <c:pt idx="40">
                  <c:v>5.4059999999999997</c:v>
                </c:pt>
              </c:numCache>
            </c:numRef>
          </c:val>
          <c:extLst>
            <c:ext xmlns:c16="http://schemas.microsoft.com/office/drawing/2014/chart" uri="{C3380CC4-5D6E-409C-BE32-E72D297353CC}">
              <c16:uniqueId val="{00000002-4BB3-4852-BC56-4876C3831B75}"/>
            </c:ext>
          </c:extLst>
        </c:ser>
        <c:ser>
          <c:idx val="2"/>
          <c:order val="1"/>
          <c:tx>
            <c:strRef>
              <c:f>'GHG emissions'!$AT$1</c:f>
              <c:strCache>
                <c:ptCount val="1"/>
                <c:pt idx="0">
                  <c:v>Dairy cattle managed manure CH4, CO2e MMT</c:v>
                </c:pt>
              </c:strCache>
            </c:strRef>
          </c:tx>
          <c:spPr>
            <a:solidFill>
              <a:schemeClr val="accent2"/>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emissions'!$AT$22:$AT$62</c:f>
              <c:numCache>
                <c:formatCode>General</c:formatCode>
                <c:ptCount val="41"/>
                <c:pt idx="0">
                  <c:v>31.472000000000001</c:v>
                </c:pt>
                <c:pt idx="1">
                  <c:v>32.031999999999996</c:v>
                </c:pt>
                <c:pt idx="2">
                  <c:v>33.263999999999996</c:v>
                </c:pt>
                <c:pt idx="3">
                  <c:v>32.676000000000002</c:v>
                </c:pt>
                <c:pt idx="4">
                  <c:v>33.32</c:v>
                </c:pt>
                <c:pt idx="5">
                  <c:v>34.524000000000001</c:v>
                </c:pt>
                <c:pt idx="6">
                  <c:v>35.251999999999995</c:v>
                </c:pt>
                <c:pt idx="7">
                  <c:v>35.56</c:v>
                </c:pt>
                <c:pt idx="8">
                  <c:v>36.176000000000002</c:v>
                </c:pt>
                <c:pt idx="9">
                  <c:v>35.867999999999995</c:v>
                </c:pt>
                <c:pt idx="10">
                  <c:v>35.725760000000008</c:v>
                </c:pt>
                <c:pt idx="11">
                  <c:v>35.584088959999995</c:v>
                </c:pt>
                <c:pt idx="12">
                  <c:v>35.442984604160003</c:v>
                </c:pt>
                <c:pt idx="13">
                  <c:v>35.302444665743366</c:v>
                </c:pt>
                <c:pt idx="14">
                  <c:v>35.162466887080392</c:v>
                </c:pt>
                <c:pt idx="15">
                  <c:v>35.023049019532067</c:v>
                </c:pt>
                <c:pt idx="16">
                  <c:v>34.675898529336742</c:v>
                </c:pt>
                <c:pt idx="17">
                  <c:v>34.332219544043383</c:v>
                </c:pt>
                <c:pt idx="18">
                  <c:v>33.991977348602944</c:v>
                </c:pt>
                <c:pt idx="19">
                  <c:v>33.655137575116918</c:v>
                </c:pt>
                <c:pt idx="20">
                  <c:v>33.321666199365744</c:v>
                </c:pt>
                <c:pt idx="21">
                  <c:v>32.826461206375257</c:v>
                </c:pt>
                <c:pt idx="22">
                  <c:v>32.33868428827963</c:v>
                </c:pt>
                <c:pt idx="23">
                  <c:v>31.85822402395543</c:v>
                </c:pt>
                <c:pt idx="24">
                  <c:v>31.3849706635961</c:v>
                </c:pt>
                <c:pt idx="25">
                  <c:v>30.918816103642165</c:v>
                </c:pt>
                <c:pt idx="26">
                  <c:v>30.459653862087528</c:v>
                </c:pt>
                <c:pt idx="27">
                  <c:v>30.007379054156218</c:v>
                </c:pt>
                <c:pt idx="28">
                  <c:v>29.561888368343872</c:v>
                </c:pt>
                <c:pt idx="29">
                  <c:v>29.123080042818714</c:v>
                </c:pt>
                <c:pt idx="30">
                  <c:v>28.690853842176431</c:v>
                </c:pt>
                <c:pt idx="31">
                  <c:v>28.265111034543782</c:v>
                </c:pt>
                <c:pt idx="32">
                  <c:v>27.845754369025627</c:v>
                </c:pt>
                <c:pt idx="33">
                  <c:v>27.432688053490242</c:v>
                </c:pt>
                <c:pt idx="34">
                  <c:v>27.025817732687884</c:v>
                </c:pt>
                <c:pt idx="35">
                  <c:v>26.625050466697569</c:v>
                </c:pt>
                <c:pt idx="36">
                  <c:v>26.230294709697102</c:v>
                </c:pt>
                <c:pt idx="37">
                  <c:v>25.841460289051646</c:v>
                </c:pt>
                <c:pt idx="38">
                  <c:v>25.458458384715868</c:v>
                </c:pt>
                <c:pt idx="39">
                  <c:v>25.081201508945131</c:v>
                </c:pt>
                <c:pt idx="40">
                  <c:v>24.709603486310957</c:v>
                </c:pt>
              </c:numCache>
            </c:numRef>
          </c:val>
          <c:extLst>
            <c:ext xmlns:c16="http://schemas.microsoft.com/office/drawing/2014/chart" uri="{C3380CC4-5D6E-409C-BE32-E72D297353CC}">
              <c16:uniqueId val="{00000003-4BB3-4852-BC56-4876C3831B75}"/>
            </c:ext>
          </c:extLst>
        </c:ser>
        <c:ser>
          <c:idx val="3"/>
          <c:order val="2"/>
          <c:tx>
            <c:strRef>
              <c:f>'GHG emissions'!$AB$1</c:f>
              <c:strCache>
                <c:ptCount val="1"/>
                <c:pt idx="0">
                  <c:v>Dairy cattle enteric CH4, CO2e MMT</c:v>
                </c:pt>
              </c:strCache>
            </c:strRef>
          </c:tx>
          <c:spPr>
            <a:solidFill>
              <a:schemeClr val="accent1"/>
            </a:solidFill>
            <a:ln w="25400">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emissions'!$AB$22:$AB$62</c:f>
              <c:numCache>
                <c:formatCode>0.0</c:formatCode>
                <c:ptCount val="41"/>
                <c:pt idx="0">
                  <c:v>45.555999999999997</c:v>
                </c:pt>
                <c:pt idx="1">
                  <c:v>46.06</c:v>
                </c:pt>
                <c:pt idx="2">
                  <c:v>46.76</c:v>
                </c:pt>
                <c:pt idx="3">
                  <c:v>46.591999999999999</c:v>
                </c:pt>
                <c:pt idx="4">
                  <c:v>47.012</c:v>
                </c:pt>
                <c:pt idx="5">
                  <c:v>47.768000000000001</c:v>
                </c:pt>
                <c:pt idx="6">
                  <c:v>48.216000000000001</c:v>
                </c:pt>
                <c:pt idx="7">
                  <c:v>48.44</c:v>
                </c:pt>
                <c:pt idx="8">
                  <c:v>48.832000000000001</c:v>
                </c:pt>
                <c:pt idx="9">
                  <c:v>48.412000000000006</c:v>
                </c:pt>
                <c:pt idx="10">
                  <c:v>48.412000000000006</c:v>
                </c:pt>
                <c:pt idx="11">
                  <c:v>48.412000000000006</c:v>
                </c:pt>
                <c:pt idx="12">
                  <c:v>48.412000000000006</c:v>
                </c:pt>
                <c:pt idx="13">
                  <c:v>48.412000000000006</c:v>
                </c:pt>
                <c:pt idx="14">
                  <c:v>48.412000000000006</c:v>
                </c:pt>
                <c:pt idx="15">
                  <c:v>48.412000000000006</c:v>
                </c:pt>
                <c:pt idx="16">
                  <c:v>48.399258039999999</c:v>
                </c:pt>
                <c:pt idx="17">
                  <c:v>48.386520284846796</c:v>
                </c:pt>
                <c:pt idx="18">
                  <c:v>48.373786733152798</c:v>
                </c:pt>
                <c:pt idx="19">
                  <c:v>48.361057383530849</c:v>
                </c:pt>
                <c:pt idx="20">
                  <c:v>48.348332234594281</c:v>
                </c:pt>
                <c:pt idx="21">
                  <c:v>47.96284891224834</c:v>
                </c:pt>
                <c:pt idx="22">
                  <c:v>47.581220423125856</c:v>
                </c:pt>
                <c:pt idx="23">
                  <c:v>47.203408218894594</c:v>
                </c:pt>
                <c:pt idx="24">
                  <c:v>46.829374136705646</c:v>
                </c:pt>
                <c:pt idx="25">
                  <c:v>46.459080395338589</c:v>
                </c:pt>
                <c:pt idx="26">
                  <c:v>46.092489591385203</c:v>
                </c:pt>
                <c:pt idx="27">
                  <c:v>45.729564695471353</c:v>
                </c:pt>
                <c:pt idx="28">
                  <c:v>45.370269048516633</c:v>
                </c:pt>
                <c:pt idx="29">
                  <c:v>45.014566358031466</c:v>
                </c:pt>
                <c:pt idx="30">
                  <c:v>44.66242069445115</c:v>
                </c:pt>
                <c:pt idx="31">
                  <c:v>44.139484384034382</c:v>
                </c:pt>
                <c:pt idx="32">
                  <c:v>43.624392118273867</c:v>
                </c:pt>
                <c:pt idx="33">
                  <c:v>43.117026236499754</c:v>
                </c:pt>
                <c:pt idx="34">
                  <c:v>42.617270842952259</c:v>
                </c:pt>
                <c:pt idx="35">
                  <c:v>42.125011780307972</c:v>
                </c:pt>
                <c:pt idx="36">
                  <c:v>41.640136603603352</c:v>
                </c:pt>
                <c:pt idx="37">
                  <c:v>41.162534554549303</c:v>
                </c:pt>
                <c:pt idx="38">
                  <c:v>40.692096536231062</c:v>
                </c:pt>
                <c:pt idx="39">
                  <c:v>40.228715088187592</c:v>
                </c:pt>
                <c:pt idx="40">
                  <c:v>39.772284361864777</c:v>
                </c:pt>
              </c:numCache>
            </c:numRef>
          </c:val>
          <c:extLst>
            <c:ext xmlns:c16="http://schemas.microsoft.com/office/drawing/2014/chart" uri="{C3380CC4-5D6E-409C-BE32-E72D297353CC}">
              <c16:uniqueId val="{00000004-4BB3-4852-BC56-4876C3831B75}"/>
            </c:ext>
          </c:extLst>
        </c:ser>
        <c:ser>
          <c:idx val="0"/>
          <c:order val="3"/>
          <c:tx>
            <c:strRef>
              <c:f>'GHG emissions'!$CC$1</c:f>
              <c:strCache>
                <c:ptCount val="1"/>
                <c:pt idx="0">
                  <c:v>Estimated non-direct GHG emissions associated with US dairy cattle production, MMT CO2e</c:v>
                </c:pt>
              </c:strCache>
            </c:strRef>
          </c:tx>
          <c:spPr>
            <a:solidFill>
              <a:schemeClr val="accent4"/>
            </a:solidFill>
            <a:ln>
              <a:noFill/>
            </a:ln>
            <a:effectLst/>
          </c:spPr>
          <c:cat>
            <c:numRef>
              <c:f>'GHG emissions'!$A$22:$A$62</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'GHG emissions'!$CC$22:$CC$62</c:f>
              <c:numCache>
                <c:formatCode>0.0000</c:formatCode>
                <c:ptCount val="41"/>
                <c:pt idx="0">
                  <c:v>23.621662690168829</c:v>
                </c:pt>
                <c:pt idx="1">
                  <c:v>23.621662690168829</c:v>
                </c:pt>
                <c:pt idx="2">
                  <c:v>23.621662690168829</c:v>
                </c:pt>
                <c:pt idx="3">
                  <c:v>23.621662690168829</c:v>
                </c:pt>
                <c:pt idx="4">
                  <c:v>23.621662690168829</c:v>
                </c:pt>
                <c:pt idx="5">
                  <c:v>23.621662690168829</c:v>
                </c:pt>
                <c:pt idx="6">
                  <c:v>23.621662690168829</c:v>
                </c:pt>
                <c:pt idx="7">
                  <c:v>23.621662690168829</c:v>
                </c:pt>
                <c:pt idx="8">
                  <c:v>23.621662690168829</c:v>
                </c:pt>
                <c:pt idx="9">
                  <c:v>23.621662690168829</c:v>
                </c:pt>
                <c:pt idx="10">
                  <c:v>23.621662690168829</c:v>
                </c:pt>
                <c:pt idx="11">
                  <c:v>23.621662690168829</c:v>
                </c:pt>
                <c:pt idx="12">
                  <c:v>23.621662690168829</c:v>
                </c:pt>
                <c:pt idx="13">
                  <c:v>23.621662690168829</c:v>
                </c:pt>
                <c:pt idx="14">
                  <c:v>23.621662690168829</c:v>
                </c:pt>
                <c:pt idx="15">
                  <c:v>23.621662690168829</c:v>
                </c:pt>
                <c:pt idx="16">
                  <c:v>23.444500219992566</c:v>
                </c:pt>
                <c:pt idx="17">
                  <c:v>23.268666468342623</c:v>
                </c:pt>
                <c:pt idx="18">
                  <c:v>23.094151469830056</c:v>
                </c:pt>
                <c:pt idx="19">
                  <c:v>22.92094533380633</c:v>
                </c:pt>
                <c:pt idx="20">
                  <c:v>22.749038243802783</c:v>
                </c:pt>
                <c:pt idx="21">
                  <c:v>22.521547861364756</c:v>
                </c:pt>
                <c:pt idx="22">
                  <c:v>22.296332382751107</c:v>
                </c:pt>
                <c:pt idx="23">
                  <c:v>22.073369058923596</c:v>
                </c:pt>
                <c:pt idx="24">
                  <c:v>21.852635368334361</c:v>
                </c:pt>
                <c:pt idx="25">
                  <c:v>21.634109014651017</c:v>
                </c:pt>
                <c:pt idx="26">
                  <c:v>21.417767924504506</c:v>
                </c:pt>
                <c:pt idx="27">
                  <c:v>21.203590245259463</c:v>
                </c:pt>
                <c:pt idx="28">
                  <c:v>20.991554342806868</c:v>
                </c:pt>
                <c:pt idx="29">
                  <c:v>20.781638799378801</c:v>
                </c:pt>
                <c:pt idx="30">
                  <c:v>20.573822411385013</c:v>
                </c:pt>
                <c:pt idx="31">
                  <c:v>20.162345963157314</c:v>
                </c:pt>
                <c:pt idx="32">
                  <c:v>19.759099043894167</c:v>
                </c:pt>
                <c:pt idx="33">
                  <c:v>19.363917063016284</c:v>
                </c:pt>
                <c:pt idx="34">
                  <c:v>18.976638721755958</c:v>
                </c:pt>
                <c:pt idx="35">
                  <c:v>18.597105947320838</c:v>
                </c:pt>
                <c:pt idx="36">
                  <c:v>18.22516382837442</c:v>
                </c:pt>
                <c:pt idx="37">
                  <c:v>17.86066055180693</c:v>
                </c:pt>
                <c:pt idx="38">
                  <c:v>17.503447340770791</c:v>
                </c:pt>
                <c:pt idx="39">
                  <c:v>17.153378393955375</c:v>
                </c:pt>
                <c:pt idx="40">
                  <c:v>16.810310826076268</c:v>
                </c:pt>
              </c:numCache>
            </c:numRef>
          </c:val>
          <c:extLst>
            <c:ext xmlns:c16="http://schemas.microsoft.com/office/drawing/2014/chart" uri="{C3380CC4-5D6E-409C-BE32-E72D297353CC}">
              <c16:uniqueId val="{00000000-4BB3-4852-BC56-4876C3831B75}"/>
            </c:ext>
          </c:extLst>
        </c:ser>
        <c:dLbls>
          <c:showLegendKey val="0"/>
          <c:showVal val="0"/>
          <c:showCatName val="0"/>
          <c:showSerName val="0"/>
          <c:showPercent val="0"/>
          <c:showBubbleSize val="0"/>
        </c:dLbls>
        <c:axId val="835002408"/>
        <c:axId val="835004376"/>
      </c:areaChart>
      <c:catAx>
        <c:axId val="835002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5004376"/>
        <c:crosses val="autoZero"/>
        <c:auto val="1"/>
        <c:lblAlgn val="ctr"/>
        <c:lblOffset val="100"/>
        <c:noMultiLvlLbl val="0"/>
      </c:catAx>
      <c:valAx>
        <c:axId val="835004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50024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2.xml"/><Relationship Id="rId21" Type="http://schemas.openxmlformats.org/officeDocument/2006/relationships/chart" Target="../charts/chart20.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 Type="http://schemas.openxmlformats.org/officeDocument/2006/relationships/image" Target="../media/image1.png"/><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19" Type="http://schemas.openxmlformats.org/officeDocument/2006/relationships/chart" Target="../charts/chart18.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21</xdr:col>
      <xdr:colOff>320993</xdr:colOff>
      <xdr:row>75</xdr:row>
      <xdr:rowOff>100965</xdr:rowOff>
    </xdr:from>
    <xdr:to>
      <xdr:col>35</xdr:col>
      <xdr:colOff>302895</xdr:colOff>
      <xdr:row>102</xdr:row>
      <xdr:rowOff>123825</xdr:rowOff>
    </xdr:to>
    <xdr:graphicFrame macro="">
      <xdr:nvGraphicFramePr>
        <xdr:cNvPr id="2" name="Chart 1">
          <a:extLst>
            <a:ext uri="{FF2B5EF4-FFF2-40B4-BE49-F238E27FC236}">
              <a16:creationId xmlns:a16="http://schemas.microsoft.com/office/drawing/2014/main" id="{F0946374-C2CB-4815-8EDE-6163387EBA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106</xdr:col>
      <xdr:colOff>139065</xdr:colOff>
      <xdr:row>10</xdr:row>
      <xdr:rowOff>211455</xdr:rowOff>
    </xdr:from>
    <xdr:to>
      <xdr:col>112</xdr:col>
      <xdr:colOff>932722</xdr:colOff>
      <xdr:row>39</xdr:row>
      <xdr:rowOff>16503</xdr:rowOff>
    </xdr:to>
    <xdr:pic>
      <xdr:nvPicPr>
        <xdr:cNvPr id="3" name="Picture 2">
          <a:extLst>
            <a:ext uri="{FF2B5EF4-FFF2-40B4-BE49-F238E27FC236}">
              <a16:creationId xmlns:a16="http://schemas.microsoft.com/office/drawing/2014/main" id="{54459D3D-1E82-40A6-B44A-64E8FE41323A}"/>
            </a:ext>
          </a:extLst>
        </xdr:cNvPr>
        <xdr:cNvPicPr>
          <a:picLocks noChangeAspect="1"/>
        </xdr:cNvPicPr>
      </xdr:nvPicPr>
      <xdr:blipFill>
        <a:blip xmlns:r="http://schemas.openxmlformats.org/officeDocument/2006/relationships" r:embed="rId2"/>
        <a:stretch>
          <a:fillRect/>
        </a:stretch>
      </xdr:blipFill>
      <xdr:spPr>
        <a:xfrm>
          <a:off x="69957315" y="3335655"/>
          <a:ext cx="5834286" cy="5139048"/>
        </a:xfrm>
        <a:prstGeom prst="rect">
          <a:avLst/>
        </a:prstGeom>
      </xdr:spPr>
    </xdr:pic>
    <xdr:clientData/>
  </xdr:twoCellAnchor>
  <xdr:twoCellAnchor>
    <xdr:from>
      <xdr:col>6</xdr:col>
      <xdr:colOff>772476</xdr:colOff>
      <xdr:row>87</xdr:row>
      <xdr:rowOff>115252</xdr:rowOff>
    </xdr:from>
    <xdr:to>
      <xdr:col>12</xdr:col>
      <xdr:colOff>53340</xdr:colOff>
      <xdr:row>110</xdr:row>
      <xdr:rowOff>177165</xdr:rowOff>
    </xdr:to>
    <xdr:graphicFrame macro="">
      <xdr:nvGraphicFramePr>
        <xdr:cNvPr id="4" name="Chart 3">
          <a:extLst>
            <a:ext uri="{FF2B5EF4-FFF2-40B4-BE49-F238E27FC236}">
              <a16:creationId xmlns:a16="http://schemas.microsoft.com/office/drawing/2014/main" id="{335D39E9-DCC7-4155-BA81-6423A2510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363960</xdr:colOff>
      <xdr:row>105</xdr:row>
      <xdr:rowOff>26459</xdr:rowOff>
    </xdr:from>
    <xdr:to>
      <xdr:col>35</xdr:col>
      <xdr:colOff>285751</xdr:colOff>
      <xdr:row>138</xdr:row>
      <xdr:rowOff>23813</xdr:rowOff>
    </xdr:to>
    <xdr:graphicFrame macro="">
      <xdr:nvGraphicFramePr>
        <xdr:cNvPr id="5" name="Chart 4">
          <a:extLst>
            <a:ext uri="{FF2B5EF4-FFF2-40B4-BE49-F238E27FC236}">
              <a16:creationId xmlns:a16="http://schemas.microsoft.com/office/drawing/2014/main" id="{908347D1-F0A4-4163-8D42-ABEAB586F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97</xdr:col>
      <xdr:colOff>317183</xdr:colOff>
      <xdr:row>122</xdr:row>
      <xdr:rowOff>55880</xdr:rowOff>
    </xdr:from>
    <xdr:to>
      <xdr:col>104</xdr:col>
      <xdr:colOff>740092</xdr:colOff>
      <xdr:row>157</xdr:row>
      <xdr:rowOff>105410</xdr:rowOff>
    </xdr:to>
    <xdr:graphicFrame macro="">
      <xdr:nvGraphicFramePr>
        <xdr:cNvPr id="6" name="Chart 5">
          <a:extLst>
            <a:ext uri="{FF2B5EF4-FFF2-40B4-BE49-F238E27FC236}">
              <a16:creationId xmlns:a16="http://schemas.microsoft.com/office/drawing/2014/main" id="{A2EF9B05-8778-40C4-A519-8B34FF2BB3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63</xdr:col>
      <xdr:colOff>109221</xdr:colOff>
      <xdr:row>114</xdr:row>
      <xdr:rowOff>127000</xdr:rowOff>
    </xdr:from>
    <xdr:to>
      <xdr:col>79</xdr:col>
      <xdr:colOff>807721</xdr:colOff>
      <xdr:row>146</xdr:row>
      <xdr:rowOff>55880</xdr:rowOff>
    </xdr:to>
    <xdr:graphicFrame macro="">
      <xdr:nvGraphicFramePr>
        <xdr:cNvPr id="8" name="Chart 7">
          <a:extLst>
            <a:ext uri="{FF2B5EF4-FFF2-40B4-BE49-F238E27FC236}">
              <a16:creationId xmlns:a16="http://schemas.microsoft.com/office/drawing/2014/main" id="{58137005-40CA-4E09-9B2E-B2669761BE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80</xdr:col>
      <xdr:colOff>930592</xdr:colOff>
      <xdr:row>73</xdr:row>
      <xdr:rowOff>184308</xdr:rowOff>
    </xdr:from>
    <xdr:to>
      <xdr:col>95</xdr:col>
      <xdr:colOff>309562</xdr:colOff>
      <xdr:row>105</xdr:row>
      <xdr:rowOff>166688</xdr:rowOff>
    </xdr:to>
    <xdr:graphicFrame macro="">
      <xdr:nvGraphicFramePr>
        <xdr:cNvPr id="9" name="Chart 8">
          <a:extLst>
            <a:ext uri="{FF2B5EF4-FFF2-40B4-BE49-F238E27FC236}">
              <a16:creationId xmlns:a16="http://schemas.microsoft.com/office/drawing/2014/main" id="{64202DFE-4D00-483B-81E4-EB86F42AE8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80</xdr:col>
      <xdr:colOff>940752</xdr:colOff>
      <xdr:row>106</xdr:row>
      <xdr:rowOff>59848</xdr:rowOff>
    </xdr:from>
    <xdr:to>
      <xdr:col>95</xdr:col>
      <xdr:colOff>252094</xdr:colOff>
      <xdr:row>140</xdr:row>
      <xdr:rowOff>27622</xdr:rowOff>
    </xdr:to>
    <xdr:graphicFrame macro="">
      <xdr:nvGraphicFramePr>
        <xdr:cNvPr id="10" name="Chart 9">
          <a:extLst>
            <a:ext uri="{FF2B5EF4-FFF2-40B4-BE49-F238E27FC236}">
              <a16:creationId xmlns:a16="http://schemas.microsoft.com/office/drawing/2014/main" id="{EF171AC3-8A85-4031-9059-3C019EE8E3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982980</xdr:colOff>
      <xdr:row>76</xdr:row>
      <xdr:rowOff>15875</xdr:rowOff>
    </xdr:from>
    <xdr:to>
      <xdr:col>100</xdr:col>
      <xdr:colOff>460375</xdr:colOff>
      <xdr:row>98</xdr:row>
      <xdr:rowOff>7936</xdr:rowOff>
    </xdr:to>
    <xdr:graphicFrame macro="">
      <xdr:nvGraphicFramePr>
        <xdr:cNvPr id="7" name="Chart 6">
          <a:extLst>
            <a:ext uri="{FF2B5EF4-FFF2-40B4-BE49-F238E27FC236}">
              <a16:creationId xmlns:a16="http://schemas.microsoft.com/office/drawing/2014/main" id="{3C3AB1CE-8280-4C25-9E3A-1854C8AECF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1011714</xdr:colOff>
      <xdr:row>98</xdr:row>
      <xdr:rowOff>127000</xdr:rowOff>
    </xdr:from>
    <xdr:to>
      <xdr:col>100</xdr:col>
      <xdr:colOff>492126</xdr:colOff>
      <xdr:row>120</xdr:row>
      <xdr:rowOff>65722</xdr:rowOff>
    </xdr:to>
    <xdr:graphicFrame macro="">
      <xdr:nvGraphicFramePr>
        <xdr:cNvPr id="12" name="Chart 11">
          <a:extLst>
            <a:ext uri="{FF2B5EF4-FFF2-40B4-BE49-F238E27FC236}">
              <a16:creationId xmlns:a16="http://schemas.microsoft.com/office/drawing/2014/main" id="{A01BBDD5-DBF4-4B4E-A8DD-E9A94480B0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101</xdr:col>
      <xdr:colOff>142875</xdr:colOff>
      <xdr:row>76</xdr:row>
      <xdr:rowOff>63501</xdr:rowOff>
    </xdr:from>
    <xdr:to>
      <xdr:col>105</xdr:col>
      <xdr:colOff>430530</xdr:colOff>
      <xdr:row>97</xdr:row>
      <xdr:rowOff>170498</xdr:rowOff>
    </xdr:to>
    <xdr:graphicFrame macro="">
      <xdr:nvGraphicFramePr>
        <xdr:cNvPr id="13" name="Chart 12">
          <a:extLst>
            <a:ext uri="{FF2B5EF4-FFF2-40B4-BE49-F238E27FC236}">
              <a16:creationId xmlns:a16="http://schemas.microsoft.com/office/drawing/2014/main" id="{95990D51-A897-4BA1-97D4-D90A962FAE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101</xdr:col>
      <xdr:colOff>206376</xdr:colOff>
      <xdr:row>98</xdr:row>
      <xdr:rowOff>158750</xdr:rowOff>
    </xdr:from>
    <xdr:to>
      <xdr:col>105</xdr:col>
      <xdr:colOff>430529</xdr:colOff>
      <xdr:row>119</xdr:row>
      <xdr:rowOff>134777</xdr:rowOff>
    </xdr:to>
    <xdr:graphicFrame macro="">
      <xdr:nvGraphicFramePr>
        <xdr:cNvPr id="14" name="Chart 13">
          <a:extLst>
            <a:ext uri="{FF2B5EF4-FFF2-40B4-BE49-F238E27FC236}">
              <a16:creationId xmlns:a16="http://schemas.microsoft.com/office/drawing/2014/main" id="{67490048-9990-4627-97A5-4A8E6C25D0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39</xdr:col>
      <xdr:colOff>537844</xdr:colOff>
      <xdr:row>78</xdr:row>
      <xdr:rowOff>142558</xdr:rowOff>
    </xdr:from>
    <xdr:to>
      <xdr:col>46</xdr:col>
      <xdr:colOff>422750</xdr:colOff>
      <xdr:row>94</xdr:row>
      <xdr:rowOff>26352</xdr:rowOff>
    </xdr:to>
    <xdr:graphicFrame macro="">
      <xdr:nvGraphicFramePr>
        <xdr:cNvPr id="11" name="Chart 10">
          <a:extLst>
            <a:ext uri="{FF2B5EF4-FFF2-40B4-BE49-F238E27FC236}">
              <a16:creationId xmlns:a16="http://schemas.microsoft.com/office/drawing/2014/main" id="{862EB033-8EE4-4158-95A7-E4FC2E32A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46</xdr:col>
      <xdr:colOff>469794</xdr:colOff>
      <xdr:row>78</xdr:row>
      <xdr:rowOff>125943</xdr:rowOff>
    </xdr:from>
    <xdr:to>
      <xdr:col>54</xdr:col>
      <xdr:colOff>188277</xdr:colOff>
      <xdr:row>94</xdr:row>
      <xdr:rowOff>4605</xdr:rowOff>
    </xdr:to>
    <xdr:graphicFrame macro="">
      <xdr:nvGraphicFramePr>
        <xdr:cNvPr id="15" name="Chart 14">
          <a:extLst>
            <a:ext uri="{FF2B5EF4-FFF2-40B4-BE49-F238E27FC236}">
              <a16:creationId xmlns:a16="http://schemas.microsoft.com/office/drawing/2014/main" id="{6C9D81D0-58F9-4875-9209-9779395C2E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40</xdr:col>
      <xdr:colOff>63341</xdr:colOff>
      <xdr:row>94</xdr:row>
      <xdr:rowOff>79057</xdr:rowOff>
    </xdr:from>
    <xdr:to>
      <xdr:col>46</xdr:col>
      <xdr:colOff>438626</xdr:colOff>
      <xdr:row>109</xdr:row>
      <xdr:rowOff>141446</xdr:rowOff>
    </xdr:to>
    <xdr:graphicFrame macro="">
      <xdr:nvGraphicFramePr>
        <xdr:cNvPr id="16" name="Chart 15">
          <a:extLst>
            <a:ext uri="{FF2B5EF4-FFF2-40B4-BE49-F238E27FC236}">
              <a16:creationId xmlns:a16="http://schemas.microsoft.com/office/drawing/2014/main" id="{45E6DFC3-C8EA-47AF-BF0B-7A5E24AA08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60</xdr:col>
      <xdr:colOff>135890</xdr:colOff>
      <xdr:row>94</xdr:row>
      <xdr:rowOff>2857</xdr:rowOff>
    </xdr:from>
    <xdr:to>
      <xdr:col>70</xdr:col>
      <xdr:colOff>33020</xdr:colOff>
      <xdr:row>113</xdr:row>
      <xdr:rowOff>40640</xdr:rowOff>
    </xdr:to>
    <xdr:graphicFrame macro="">
      <xdr:nvGraphicFramePr>
        <xdr:cNvPr id="17" name="Chart 16">
          <a:extLst>
            <a:ext uri="{FF2B5EF4-FFF2-40B4-BE49-F238E27FC236}">
              <a16:creationId xmlns:a16="http://schemas.microsoft.com/office/drawing/2014/main" id="{EB02E2A0-EEF8-4BEB-A460-940277C47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52</xdr:col>
      <xdr:colOff>76200</xdr:colOff>
      <xdr:row>99</xdr:row>
      <xdr:rowOff>3175</xdr:rowOff>
    </xdr:from>
    <xdr:to>
      <xdr:col>59</xdr:col>
      <xdr:colOff>384175</xdr:colOff>
      <xdr:row>114</xdr:row>
      <xdr:rowOff>3175</xdr:rowOff>
    </xdr:to>
    <xdr:graphicFrame macro="">
      <xdr:nvGraphicFramePr>
        <xdr:cNvPr id="21" name="Chart 20">
          <a:extLst>
            <a:ext uri="{FF2B5EF4-FFF2-40B4-BE49-F238E27FC236}">
              <a16:creationId xmlns:a16="http://schemas.microsoft.com/office/drawing/2014/main" id="{A1576B13-922E-43EF-A1B0-94E5AF38E1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51</xdr:col>
      <xdr:colOff>590973</xdr:colOff>
      <xdr:row>115</xdr:row>
      <xdr:rowOff>53340</xdr:rowOff>
    </xdr:from>
    <xdr:to>
      <xdr:col>59</xdr:col>
      <xdr:colOff>402167</xdr:colOff>
      <xdr:row>132</xdr:row>
      <xdr:rowOff>52917</xdr:rowOff>
    </xdr:to>
    <xdr:graphicFrame macro="">
      <xdr:nvGraphicFramePr>
        <xdr:cNvPr id="22" name="Chart 21">
          <a:extLst>
            <a:ext uri="{FF2B5EF4-FFF2-40B4-BE49-F238E27FC236}">
              <a16:creationId xmlns:a16="http://schemas.microsoft.com/office/drawing/2014/main" id="{8740A95C-654D-4EF9-98EB-E56804FE5C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80</xdr:col>
      <xdr:colOff>920115</xdr:colOff>
      <xdr:row>141</xdr:row>
      <xdr:rowOff>15874</xdr:rowOff>
    </xdr:from>
    <xdr:to>
      <xdr:col>87</xdr:col>
      <xdr:colOff>144779</xdr:colOff>
      <xdr:row>167</xdr:row>
      <xdr:rowOff>34925</xdr:rowOff>
    </xdr:to>
    <xdr:graphicFrame macro="">
      <xdr:nvGraphicFramePr>
        <xdr:cNvPr id="23" name="Chart 22">
          <a:extLst>
            <a:ext uri="{FF2B5EF4-FFF2-40B4-BE49-F238E27FC236}">
              <a16:creationId xmlns:a16="http://schemas.microsoft.com/office/drawing/2014/main" id="{5D7B7100-7E5A-4A3A-ACCB-D6C58F659F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87</xdr:col>
      <xdr:colOff>269874</xdr:colOff>
      <xdr:row>140</xdr:row>
      <xdr:rowOff>158750</xdr:rowOff>
    </xdr:from>
    <xdr:to>
      <xdr:col>94</xdr:col>
      <xdr:colOff>384386</xdr:colOff>
      <xdr:row>166</xdr:row>
      <xdr:rowOff>171238</xdr:rowOff>
    </xdr:to>
    <xdr:graphicFrame macro="">
      <xdr:nvGraphicFramePr>
        <xdr:cNvPr id="24" name="Chart 23">
          <a:extLst>
            <a:ext uri="{FF2B5EF4-FFF2-40B4-BE49-F238E27FC236}">
              <a16:creationId xmlns:a16="http://schemas.microsoft.com/office/drawing/2014/main" id="{3209B4CD-CA71-47AC-8305-E07B77FB64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73</xdr:col>
      <xdr:colOff>542925</xdr:colOff>
      <xdr:row>73</xdr:row>
      <xdr:rowOff>147638</xdr:rowOff>
    </xdr:from>
    <xdr:to>
      <xdr:col>80</xdr:col>
      <xdr:colOff>809625</xdr:colOff>
      <xdr:row>88</xdr:row>
      <xdr:rowOff>166688</xdr:rowOff>
    </xdr:to>
    <xdr:graphicFrame macro="">
      <xdr:nvGraphicFramePr>
        <xdr:cNvPr id="25" name="Chart 24">
          <a:extLst>
            <a:ext uri="{FF2B5EF4-FFF2-40B4-BE49-F238E27FC236}">
              <a16:creationId xmlns:a16="http://schemas.microsoft.com/office/drawing/2014/main" id="{88C46D88-D743-41F3-8C39-3AD7CA60B6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73</xdr:col>
      <xdr:colOff>561975</xdr:colOff>
      <xdr:row>89</xdr:row>
      <xdr:rowOff>71438</xdr:rowOff>
    </xdr:from>
    <xdr:to>
      <xdr:col>80</xdr:col>
      <xdr:colOff>828675</xdr:colOff>
      <xdr:row>104</xdr:row>
      <xdr:rowOff>100013</xdr:rowOff>
    </xdr:to>
    <xdr:graphicFrame macro="">
      <xdr:nvGraphicFramePr>
        <xdr:cNvPr id="26" name="Chart 25">
          <a:extLst>
            <a:ext uri="{FF2B5EF4-FFF2-40B4-BE49-F238E27FC236}">
              <a16:creationId xmlns:a16="http://schemas.microsoft.com/office/drawing/2014/main" id="{45C80B36-241D-4754-A9DB-5D0B920F9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ure.com/articles/s41612-021-00169-8" TargetMode="External"/><Relationship Id="rId7" Type="http://schemas.openxmlformats.org/officeDocument/2006/relationships/printerSettings" Target="../printerSettings/printerSettings1.bin"/><Relationship Id="rId2" Type="http://schemas.openxmlformats.org/officeDocument/2006/relationships/hyperlink" Target="https://www.sciencedirect.com/science/article/pii/S0308521X18305675" TargetMode="External"/><Relationship Id="rId1" Type="http://schemas.openxmlformats.org/officeDocument/2006/relationships/hyperlink" Target="https://www.sciencedirect.com/science/article/pii/S0959652621023714" TargetMode="External"/><Relationship Id="rId6" Type="http://schemas.openxmlformats.org/officeDocument/2006/relationships/hyperlink" Target="https://www.ipcc.ch/site/assets/uploads/2018/02/WG1AR5_Chapter08_FINAL.pdf" TargetMode="External"/><Relationship Id="rId5" Type="http://schemas.openxmlformats.org/officeDocument/2006/relationships/hyperlink" Target="https://www.epa.gov/ghgemissions/inventory-us-greenhouse-gas-emissions-and-sinks-1990-2019" TargetMode="External"/><Relationship Id="rId4" Type="http://schemas.openxmlformats.org/officeDocument/2006/relationships/hyperlink" Target="https://quickstats.nass.usda.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ature.com/articles/s41612-021-00169-8"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7953-9D0B-4C43-90A3-07E758A3D37D}">
  <dimension ref="A1:A15"/>
  <sheetViews>
    <sheetView workbookViewId="0">
      <selection activeCell="A4" sqref="A4"/>
    </sheetView>
  </sheetViews>
  <sheetFormatPr defaultRowHeight="14.4" x14ac:dyDescent="0.3"/>
  <cols>
    <col min="1" max="1" width="107.109375" bestFit="1" customWidth="1"/>
  </cols>
  <sheetData>
    <row r="1" spans="1:1" ht="43.2" x14ac:dyDescent="0.3">
      <c r="A1" s="66" t="s">
        <v>159</v>
      </c>
    </row>
    <row r="2" spans="1:1" x14ac:dyDescent="0.3">
      <c r="A2" t="s">
        <v>160</v>
      </c>
    </row>
    <row r="3" spans="1:1" x14ac:dyDescent="0.3">
      <c r="A3" t="s">
        <v>162</v>
      </c>
    </row>
    <row r="9" spans="1:1" x14ac:dyDescent="0.3">
      <c r="A9" s="67" t="s">
        <v>154</v>
      </c>
    </row>
    <row r="10" spans="1:1" x14ac:dyDescent="0.3">
      <c r="A10" s="65" t="s">
        <v>158</v>
      </c>
    </row>
    <row r="11" spans="1:1" x14ac:dyDescent="0.3">
      <c r="A11" s="65" t="s">
        <v>157</v>
      </c>
    </row>
    <row r="12" spans="1:1" x14ac:dyDescent="0.3">
      <c r="A12" s="65" t="s">
        <v>156</v>
      </c>
    </row>
    <row r="13" spans="1:1" x14ac:dyDescent="0.3">
      <c r="A13" s="65" t="s">
        <v>155</v>
      </c>
    </row>
    <row r="14" spans="1:1" x14ac:dyDescent="0.3">
      <c r="A14" s="65" t="s">
        <v>153</v>
      </c>
    </row>
    <row r="15" spans="1:1" x14ac:dyDescent="0.3">
      <c r="A15" s="65" t="s">
        <v>161</v>
      </c>
    </row>
  </sheetData>
  <hyperlinks>
    <hyperlink ref="A13" r:id="rId1" display="https://www.sciencedirect.com/science/article/pii/S0959652621023714" xr:uid="{7EBD28E2-9DF9-4938-BF10-506F328DA3F6}"/>
    <hyperlink ref="A12" r:id="rId2" display="https://www.sciencedirect.com/science/article/pii/S0308521X18305675" xr:uid="{2EE997AF-EAA5-4558-ABD8-FE462ADE508D}"/>
    <hyperlink ref="A14" r:id="rId3" display="https://www.nature.com/articles/s41612-021-00169-8" xr:uid="{A5345740-1C95-4A85-986E-6CBFB8B05FB3}"/>
    <hyperlink ref="A11" r:id="rId4" display="https://quickstats.nass.usda.gov/" xr:uid="{F7D9DAB5-C10F-4DF5-8192-71029ACFCFD9}"/>
    <hyperlink ref="A10" r:id="rId5" display="https://www.epa.gov/ghgemissions/inventory-us-greenhouse-gas-emissions-and-sinks-1990-2019" xr:uid="{9FE54662-CE33-44C5-951B-25412C6574DC}"/>
    <hyperlink ref="A15" r:id="rId6" display="https://www.ipcc.ch/site/assets/uploads/2018/02/WG1AR5_Chapter08_FINAL.pdf" xr:uid="{C9D4BE94-7657-48E6-AB34-CA09243E5931}"/>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026EA-F56D-4837-9A45-A07064413695}">
  <dimension ref="A1:DP75"/>
  <sheetViews>
    <sheetView tabSelected="1" zoomScale="90" zoomScaleNormal="90" workbookViewId="0">
      <pane xSplit="1" ySplit="1" topLeftCell="CC32" activePane="bottomRight" state="frozen"/>
      <selection pane="topRight" activeCell="B1" sqref="B1"/>
      <selection pane="bottomLeft" activeCell="A2" sqref="A2"/>
      <selection pane="bottomRight" activeCell="CM53" sqref="CM53"/>
    </sheetView>
  </sheetViews>
  <sheetFormatPr defaultRowHeight="14.4" x14ac:dyDescent="0.3"/>
  <cols>
    <col min="1" max="1" width="27.77734375" style="1" bestFit="1" customWidth="1"/>
    <col min="2" max="2" width="16" style="1" customWidth="1"/>
    <col min="3" max="3" width="15.21875" style="1" customWidth="1"/>
    <col min="4" max="4" width="19.5546875" style="1" customWidth="1"/>
    <col min="5" max="6" width="20" style="1" customWidth="1"/>
    <col min="7" max="7" width="23" style="1" customWidth="1"/>
    <col min="8" max="8" width="25.77734375" style="1" customWidth="1"/>
    <col min="9" max="9" width="13" style="1" customWidth="1"/>
    <col min="10" max="11" width="13.6640625" style="1" customWidth="1"/>
    <col min="12" max="12" width="16" style="1" customWidth="1"/>
    <col min="13" max="13" width="11.109375" style="1" customWidth="1"/>
    <col min="14" max="14" width="11.6640625" style="1" bestFit="1" customWidth="1"/>
    <col min="15" max="15" width="10.5546875" style="1" bestFit="1" customWidth="1"/>
    <col min="16" max="16" width="11.21875" style="1" bestFit="1" customWidth="1"/>
    <col min="17" max="17" width="15.77734375" style="1" bestFit="1" customWidth="1"/>
    <col min="18" max="18" width="17.109375" style="1" bestFit="1" customWidth="1"/>
    <col min="19" max="19" width="12" style="1" bestFit="1" customWidth="1"/>
    <col min="20" max="20" width="8.88671875" style="1"/>
    <col min="21" max="21" width="16.6640625" style="1" customWidth="1"/>
    <col min="22" max="22" width="13.6640625" style="1" customWidth="1"/>
    <col min="23" max="23" width="18.44140625" style="1" customWidth="1"/>
    <col min="24" max="24" width="13.88671875" style="1" customWidth="1"/>
    <col min="25" max="25" width="11.44140625" style="1" customWidth="1"/>
    <col min="26" max="26" width="8.5546875" style="1" bestFit="1" customWidth="1"/>
    <col min="27" max="28" width="8.5546875" style="1" customWidth="1"/>
    <col min="29" max="29" width="8.77734375" style="1" bestFit="1" customWidth="1"/>
    <col min="30" max="30" width="11.33203125" style="1" customWidth="1"/>
    <col min="31" max="31" width="8.88671875" style="1"/>
    <col min="32" max="32" width="11" style="1" bestFit="1" customWidth="1"/>
    <col min="33" max="33" width="12.6640625" style="1" customWidth="1"/>
    <col min="34" max="34" width="12.77734375" style="1" customWidth="1"/>
    <col min="35" max="36" width="8.88671875" style="1"/>
    <col min="37" max="37" width="10.5546875" style="1" bestFit="1" customWidth="1"/>
    <col min="38" max="41" width="8.88671875" style="1"/>
    <col min="42" max="43" width="12.5546875" style="1" bestFit="1" customWidth="1"/>
    <col min="44" max="44" width="9.5546875" style="1" bestFit="1" customWidth="1"/>
    <col min="45" max="59" width="8.88671875" style="1"/>
    <col min="60" max="60" width="8.77734375" style="1" bestFit="1" customWidth="1"/>
    <col min="61" max="65" width="8.88671875" style="1"/>
    <col min="66" max="67" width="14.33203125" style="1" bestFit="1" customWidth="1"/>
    <col min="68" max="68" width="12" style="1" bestFit="1" customWidth="1"/>
    <col min="69" max="69" width="8.88671875" style="1"/>
    <col min="79" max="94" width="18.33203125" style="1" customWidth="1"/>
    <col min="96" max="96" width="56.77734375" bestFit="1" customWidth="1"/>
    <col min="97" max="97" width="34.44140625" bestFit="1" customWidth="1"/>
    <col min="98" max="98" width="27.109375" bestFit="1" customWidth="1"/>
    <col min="99" max="99" width="21.77734375" bestFit="1" customWidth="1"/>
    <col min="100" max="100" width="28.5546875" bestFit="1" customWidth="1"/>
    <col min="101" max="101" width="15.109375" bestFit="1" customWidth="1"/>
    <col min="102" max="102" width="11.33203125" bestFit="1" customWidth="1"/>
    <col min="103" max="103" width="39.109375" bestFit="1" customWidth="1"/>
    <col min="104" max="104" width="27.109375" bestFit="1" customWidth="1"/>
    <col min="105" max="105" width="36.109375" bestFit="1" customWidth="1"/>
    <col min="106" max="106" width="26.33203125" bestFit="1" customWidth="1"/>
    <col min="107" max="107" width="21.77734375" customWidth="1"/>
    <col min="108" max="108" width="12.6640625" bestFit="1" customWidth="1"/>
    <col min="111" max="112" width="10.5546875" bestFit="1" customWidth="1"/>
    <col min="113" max="113" width="15.44140625" bestFit="1" customWidth="1"/>
    <col min="117" max="117" width="12.5546875" customWidth="1"/>
  </cols>
  <sheetData>
    <row r="1" spans="1:120" ht="115.2" x14ac:dyDescent="0.3">
      <c r="A1" s="1" t="s">
        <v>0</v>
      </c>
      <c r="B1" s="3" t="s">
        <v>1</v>
      </c>
      <c r="C1" s="3" t="s">
        <v>2</v>
      </c>
      <c r="D1" s="3" t="s">
        <v>3</v>
      </c>
      <c r="E1" s="3" t="s">
        <v>4</v>
      </c>
      <c r="F1" s="3" t="s">
        <v>114</v>
      </c>
      <c r="G1" s="3" t="s">
        <v>5</v>
      </c>
      <c r="H1" s="3" t="s">
        <v>6</v>
      </c>
      <c r="I1" s="3" t="s">
        <v>7</v>
      </c>
      <c r="J1" s="3" t="s">
        <v>8</v>
      </c>
      <c r="K1" s="3" t="s">
        <v>115</v>
      </c>
      <c r="L1" s="3" t="s">
        <v>9</v>
      </c>
      <c r="M1" s="3" t="s">
        <v>10</v>
      </c>
      <c r="N1" s="3" t="s">
        <v>11</v>
      </c>
      <c r="O1" s="3" t="s">
        <v>12</v>
      </c>
      <c r="P1" s="3" t="s">
        <v>35</v>
      </c>
      <c r="Q1" s="4" t="s">
        <v>13</v>
      </c>
      <c r="R1" s="4" t="s">
        <v>14</v>
      </c>
      <c r="S1" s="4" t="s">
        <v>16</v>
      </c>
      <c r="T1" s="4" t="s">
        <v>15</v>
      </c>
      <c r="U1" s="4" t="s">
        <v>17</v>
      </c>
      <c r="V1" s="7" t="s">
        <v>19</v>
      </c>
      <c r="W1" s="7" t="s">
        <v>20</v>
      </c>
      <c r="X1" s="7" t="s">
        <v>21</v>
      </c>
      <c r="Y1" s="7" t="s">
        <v>22</v>
      </c>
      <c r="Z1" s="7" t="s">
        <v>23</v>
      </c>
      <c r="AA1" s="7" t="s">
        <v>93</v>
      </c>
      <c r="AB1" s="7" t="s">
        <v>135</v>
      </c>
      <c r="AC1" s="8" t="s">
        <v>24</v>
      </c>
      <c r="AD1" s="8" t="s">
        <v>25</v>
      </c>
      <c r="AE1" s="8" t="s">
        <v>26</v>
      </c>
      <c r="AF1" s="8" t="s">
        <v>27</v>
      </c>
      <c r="AG1" s="8" t="s">
        <v>28</v>
      </c>
      <c r="AH1" s="8" t="s">
        <v>29</v>
      </c>
      <c r="AI1" s="8" t="s">
        <v>30</v>
      </c>
      <c r="AJ1" s="8" t="s">
        <v>31</v>
      </c>
      <c r="AK1" s="8" t="s">
        <v>32</v>
      </c>
      <c r="AL1" s="8" t="s">
        <v>134</v>
      </c>
      <c r="AM1" s="8" t="s">
        <v>113</v>
      </c>
      <c r="AN1" s="8" t="s">
        <v>116</v>
      </c>
      <c r="AO1" s="10" t="s">
        <v>33</v>
      </c>
      <c r="AP1" s="7" t="s">
        <v>36</v>
      </c>
      <c r="AQ1" s="7" t="s">
        <v>37</v>
      </c>
      <c r="AR1" s="7" t="s">
        <v>38</v>
      </c>
      <c r="AS1" s="7" t="s">
        <v>39</v>
      </c>
      <c r="AT1" s="7" t="s">
        <v>133</v>
      </c>
      <c r="AU1" s="8" t="s">
        <v>40</v>
      </c>
      <c r="AV1" s="8" t="s">
        <v>41</v>
      </c>
      <c r="AW1" s="8" t="s">
        <v>42</v>
      </c>
      <c r="AX1" s="8" t="s">
        <v>43</v>
      </c>
      <c r="AY1" s="8" t="s">
        <v>44</v>
      </c>
      <c r="AZ1" s="8" t="s">
        <v>45</v>
      </c>
      <c r="BA1" s="8" t="s">
        <v>46</v>
      </c>
      <c r="BB1" s="8" t="s">
        <v>47</v>
      </c>
      <c r="BC1" s="8" t="s">
        <v>132</v>
      </c>
      <c r="BD1" s="7" t="s">
        <v>49</v>
      </c>
      <c r="BE1" s="7" t="s">
        <v>50</v>
      </c>
      <c r="BF1" s="7" t="s">
        <v>51</v>
      </c>
      <c r="BG1" s="7" t="s">
        <v>52</v>
      </c>
      <c r="BH1" s="7" t="s">
        <v>131</v>
      </c>
      <c r="BI1" s="8" t="s">
        <v>53</v>
      </c>
      <c r="BJ1" s="8" t="s">
        <v>54</v>
      </c>
      <c r="BK1" s="8" t="s">
        <v>55</v>
      </c>
      <c r="BL1" s="7" t="s">
        <v>56</v>
      </c>
      <c r="BM1" s="8" t="s">
        <v>57</v>
      </c>
      <c r="BN1" s="7" t="s">
        <v>58</v>
      </c>
      <c r="BO1" s="8" t="s">
        <v>59</v>
      </c>
      <c r="BP1" s="7" t="s">
        <v>60</v>
      </c>
      <c r="BQ1" s="8" t="s">
        <v>71</v>
      </c>
      <c r="BR1" s="8" t="s">
        <v>64</v>
      </c>
      <c r="BS1" s="8" t="s">
        <v>66</v>
      </c>
      <c r="BT1" s="8" t="s">
        <v>117</v>
      </c>
      <c r="BU1" s="8" t="s">
        <v>67</v>
      </c>
      <c r="BV1" s="7" t="s">
        <v>65</v>
      </c>
      <c r="BW1" s="7" t="s">
        <v>136</v>
      </c>
      <c r="BX1" s="7" t="s">
        <v>118</v>
      </c>
      <c r="BY1" s="7" t="s">
        <v>68</v>
      </c>
      <c r="BZ1" s="10" t="s">
        <v>69</v>
      </c>
      <c r="CA1" s="8" t="s">
        <v>120</v>
      </c>
      <c r="CB1" s="8" t="s">
        <v>150</v>
      </c>
      <c r="CC1" s="7" t="s">
        <v>119</v>
      </c>
      <c r="CD1" s="7" t="s">
        <v>149</v>
      </c>
      <c r="CE1" s="8" t="s">
        <v>123</v>
      </c>
      <c r="CF1" s="8" t="s">
        <v>147</v>
      </c>
      <c r="CG1" s="8" t="s">
        <v>130</v>
      </c>
      <c r="CH1" s="8" t="s">
        <v>124</v>
      </c>
      <c r="CI1" s="8" t="s">
        <v>146</v>
      </c>
      <c r="CJ1" s="7" t="s">
        <v>125</v>
      </c>
      <c r="CK1" s="7" t="s">
        <v>145</v>
      </c>
      <c r="CL1" s="7" t="s">
        <v>129</v>
      </c>
      <c r="CM1" s="7" t="s">
        <v>126</v>
      </c>
      <c r="CN1" s="7" t="s">
        <v>144</v>
      </c>
      <c r="CO1" s="10" t="s">
        <v>128</v>
      </c>
      <c r="CP1" s="10" t="s">
        <v>143</v>
      </c>
      <c r="CT1" s="41" t="s">
        <v>0</v>
      </c>
      <c r="CU1" s="42" t="s">
        <v>104</v>
      </c>
      <c r="CV1" s="42" t="s">
        <v>111</v>
      </c>
      <c r="CW1" s="42" t="s">
        <v>105</v>
      </c>
      <c r="CX1" s="42" t="s">
        <v>106</v>
      </c>
      <c r="CY1" s="42" t="s">
        <v>107</v>
      </c>
      <c r="CZ1" s="42" t="s">
        <v>108</v>
      </c>
      <c r="DA1" s="42" t="s">
        <v>109</v>
      </c>
      <c r="DB1" s="42" t="s">
        <v>67</v>
      </c>
      <c r="DC1" s="42" t="s">
        <v>110</v>
      </c>
      <c r="DD1" s="42" t="s">
        <v>112</v>
      </c>
      <c r="DE1" s="48"/>
      <c r="DF1" s="49" t="s">
        <v>0</v>
      </c>
      <c r="DG1" s="50" t="s">
        <v>104</v>
      </c>
      <c r="DH1" s="50" t="s">
        <v>142</v>
      </c>
      <c r="DI1" s="50" t="s">
        <v>137</v>
      </c>
      <c r="DJ1" s="50" t="s">
        <v>138</v>
      </c>
      <c r="DK1" s="50" t="s">
        <v>139</v>
      </c>
      <c r="DL1" s="50" t="s">
        <v>140</v>
      </c>
      <c r="DM1" s="50" t="s">
        <v>141</v>
      </c>
      <c r="DN1" s="50" t="s">
        <v>68</v>
      </c>
      <c r="DO1" s="48"/>
      <c r="DP1" s="48"/>
    </row>
    <row r="2" spans="1:120" x14ac:dyDescent="0.3">
      <c r="A2" s="1">
        <v>1990</v>
      </c>
      <c r="B2" s="2">
        <v>95816200</v>
      </c>
      <c r="C2" s="2">
        <v>10014800</v>
      </c>
      <c r="D2" s="2">
        <v>4170600</v>
      </c>
      <c r="E2" s="2">
        <v>32454700</v>
      </c>
      <c r="F2" s="11">
        <f>E2/P2</f>
        <v>0.39757910004557101</v>
      </c>
      <c r="G2" s="2">
        <v>5282900</v>
      </c>
      <c r="H2" s="2">
        <v>7803100</v>
      </c>
      <c r="I2" s="2">
        <v>15511900</v>
      </c>
      <c r="J2" s="2">
        <v>11626000</v>
      </c>
      <c r="K2" s="12">
        <f>J2/P2</f>
        <v>0.14242173297333849</v>
      </c>
      <c r="L2" s="2">
        <v>2160300</v>
      </c>
      <c r="M2" s="2">
        <v>18417900</v>
      </c>
      <c r="N2" s="2">
        <f>M2+L2+((H2+I2)-J2)+J2+G2+E2+D2+C2</f>
        <v>95816200</v>
      </c>
      <c r="O2" s="2">
        <f>(I2+G2)-J2</f>
        <v>9168800</v>
      </c>
      <c r="P2" s="2">
        <f>B2-(C2+D2)</f>
        <v>81630800</v>
      </c>
      <c r="Q2" s="2">
        <v>22743000000</v>
      </c>
      <c r="R2" s="2">
        <v>147721000000</v>
      </c>
      <c r="S2" s="9">
        <f>Q2/B2</f>
        <v>237.36069683414703</v>
      </c>
      <c r="T2" s="2">
        <f>R2/C2</f>
        <v>14750.269600990534</v>
      </c>
      <c r="U2" s="9">
        <f>Q2/(B2-(C2+D2))</f>
        <v>278.60807440328898</v>
      </c>
      <c r="V2" s="2">
        <v>1574</v>
      </c>
      <c r="W2" s="1">
        <v>62</v>
      </c>
      <c r="X2" s="2">
        <v>1242</v>
      </c>
      <c r="Y2" s="1">
        <v>58</v>
      </c>
      <c r="Z2" s="1">
        <v>212</v>
      </c>
      <c r="AA2" s="17">
        <f>((X2*10^6)/C2)/365</f>
        <v>0.33977111135792998</v>
      </c>
      <c r="AB2" s="39">
        <f t="shared" ref="AB2:AB33" si="0">(V2/10^3)*$CS$7</f>
        <v>44.072000000000003</v>
      </c>
      <c r="AC2" s="2">
        <v>4763</v>
      </c>
      <c r="AD2" s="1">
        <v>182</v>
      </c>
      <c r="AE2" s="1">
        <v>196</v>
      </c>
      <c r="AF2" s="2">
        <v>2884</v>
      </c>
      <c r="AG2" s="1">
        <v>69</v>
      </c>
      <c r="AH2" s="1">
        <v>188</v>
      </c>
      <c r="AI2" s="1">
        <v>563</v>
      </c>
      <c r="AJ2" s="1">
        <v>306</v>
      </c>
      <c r="AK2" s="1">
        <v>375</v>
      </c>
      <c r="AL2" s="1">
        <f t="shared" ref="AL2:AL33" si="1">(AC2/10^3)*$CS$7</f>
        <v>133.364</v>
      </c>
      <c r="AM2" s="16">
        <f>((AF2*10^6)/E2)/365</f>
        <v>0.24345841628527451</v>
      </c>
      <c r="AN2" s="16">
        <f>((AK2*10^6)/J2)/365</f>
        <v>8.8370657171337741E-2</v>
      </c>
      <c r="AO2" s="2">
        <v>6338</v>
      </c>
      <c r="AP2" s="1">
        <v>589</v>
      </c>
      <c r="AQ2" s="1">
        <v>581</v>
      </c>
      <c r="AR2" s="1">
        <v>7</v>
      </c>
      <c r="AS2" s="1">
        <v>2</v>
      </c>
      <c r="AT2" s="1">
        <f t="shared" ref="AT2:AT33" si="2">(AP2/10^3)*$CS$7</f>
        <v>16.491999999999997</v>
      </c>
      <c r="AU2" s="1">
        <v>126</v>
      </c>
      <c r="AV2" s="1">
        <v>14</v>
      </c>
      <c r="AW2" s="1">
        <v>7</v>
      </c>
      <c r="AX2" s="1">
        <v>5</v>
      </c>
      <c r="AY2" s="1">
        <v>6</v>
      </c>
      <c r="AZ2" s="1">
        <v>12</v>
      </c>
      <c r="BA2" s="1">
        <v>12</v>
      </c>
      <c r="BB2" s="1">
        <v>69</v>
      </c>
      <c r="BC2" s="1">
        <f t="shared" ref="BC2:BC33" si="3">(AU2/10^3)*$CS$7</f>
        <v>3.528</v>
      </c>
      <c r="BD2" s="1">
        <v>17.7</v>
      </c>
      <c r="BE2" s="1">
        <v>10.6</v>
      </c>
      <c r="BF2" s="1">
        <v>7.1</v>
      </c>
      <c r="BG2" s="1" t="s">
        <v>48</v>
      </c>
      <c r="BH2" s="1">
        <f t="shared" ref="BH2:BH33" si="4">(BD2/10^3)*$CS$8</f>
        <v>4.6905000000000001</v>
      </c>
      <c r="BI2" s="1">
        <v>19.8</v>
      </c>
      <c r="BJ2" s="1">
        <v>13.4</v>
      </c>
      <c r="BK2" s="1">
        <v>6.4</v>
      </c>
      <c r="BL2" s="2">
        <f t="shared" ref="BL2:BL33" si="5">AP2+V2</f>
        <v>2163</v>
      </c>
      <c r="BM2" s="2">
        <f t="shared" ref="BM2:BM33" si="6">AU2+AC2</f>
        <v>4889</v>
      </c>
      <c r="BN2" s="9">
        <f t="shared" ref="BN2:BN33" si="7">((BL2*$CS$7)/1000)+((BD2*$CS$8)/1000)</f>
        <v>65.254500000000007</v>
      </c>
      <c r="BO2" s="9">
        <f t="shared" ref="BO2:BO33" si="8">((BM2*$CS$7)/1000)+(BI2*$CS$8)/1000</f>
        <v>142.13900000000001</v>
      </c>
      <c r="BP2" s="16">
        <f t="shared" ref="BP2:BP33" si="9">BN2/((R2/$CS$9)/10^9)</f>
        <v>0.97387220361356874</v>
      </c>
      <c r="BQ2" s="17">
        <f t="shared" ref="BQ2:BQ33" si="10">BO2/((Q2/$CS$9)/10^9)</f>
        <v>13.77841455304929</v>
      </c>
      <c r="BT2">
        <f t="shared" ref="BT2:BT33" si="11">(BI2*$CS$8)/10^3</f>
        <v>5.2469999999999999</v>
      </c>
      <c r="BX2">
        <f t="shared" ref="BX2:BX33" si="12">(BD2*$CS$8)/10^3</f>
        <v>4.6905000000000001</v>
      </c>
      <c r="CT2" s="38">
        <v>2020</v>
      </c>
      <c r="CU2" s="2">
        <f>B32</f>
        <v>93793300</v>
      </c>
      <c r="CV2" s="2">
        <f>P32</f>
        <v>79766700</v>
      </c>
      <c r="CW2" s="2">
        <f>Q32</f>
        <v>27074554380.666412</v>
      </c>
      <c r="CX2" s="39">
        <f>CW2/CU2</f>
        <v>288.66192340675093</v>
      </c>
      <c r="CY2" s="1">
        <f>BO32</f>
        <v>156.69149999999999</v>
      </c>
      <c r="CZ2" s="39">
        <f>BQ32</f>
        <v>12.759036025969753</v>
      </c>
      <c r="DA2" s="1"/>
      <c r="DB2" s="39">
        <f>BU32</f>
        <v>60.746420000000043</v>
      </c>
      <c r="DC2" s="1">
        <f>(CY2*10^9)/CU2</f>
        <v>1670.6044035128309</v>
      </c>
      <c r="DD2">
        <f>(CY2*10^9)/CV2</f>
        <v>1964.3723508682194</v>
      </c>
      <c r="DF2" s="38">
        <v>2020</v>
      </c>
      <c r="DG2" s="51">
        <f>B32</f>
        <v>93793300</v>
      </c>
      <c r="DH2" s="51">
        <f>C32+D32</f>
        <v>14026600</v>
      </c>
      <c r="DI2" s="51">
        <f>R32</f>
        <v>223220000000</v>
      </c>
      <c r="DJ2" s="51">
        <f>T32</f>
        <v>23892.706527090959</v>
      </c>
      <c r="DK2">
        <f>BN32</f>
        <v>89.54376000000002</v>
      </c>
      <c r="DL2" s="52">
        <f>BP32</f>
        <v>0.88437399951258855</v>
      </c>
      <c r="DN2" s="5">
        <f>BY32</f>
        <v>104.28205280000003</v>
      </c>
    </row>
    <row r="3" spans="1:120" ht="15" thickBot="1" x14ac:dyDescent="0.35">
      <c r="A3" s="1">
        <v>1991</v>
      </c>
      <c r="B3" s="2">
        <v>96393000</v>
      </c>
      <c r="C3" s="2">
        <v>9965600</v>
      </c>
      <c r="D3" s="2">
        <v>4093400</v>
      </c>
      <c r="E3" s="2">
        <v>32519800</v>
      </c>
      <c r="F3" s="11">
        <f t="shared" ref="F3:F62" si="13">E3/P3</f>
        <v>0.39497412976413149</v>
      </c>
      <c r="G3" s="2">
        <v>5442900</v>
      </c>
      <c r="H3" s="2">
        <v>8102100</v>
      </c>
      <c r="I3" s="2">
        <v>15966700</v>
      </c>
      <c r="J3" s="2">
        <v>12715000</v>
      </c>
      <c r="K3" s="12">
        <f t="shared" ref="K3:K33" si="14">J3/P3</f>
        <v>0.15443194791945006</v>
      </c>
      <c r="L3" s="2">
        <v>2195500</v>
      </c>
      <c r="M3" s="2">
        <v>18107000</v>
      </c>
      <c r="N3" s="2">
        <f t="shared" ref="N3:N33" si="15">M3+L3+((H3+I3)-J3)+J3+G3+E3+D3+C3</f>
        <v>96393000</v>
      </c>
      <c r="O3" s="2">
        <f t="shared" ref="O3:O33" si="16">(I3+G3)-J3</f>
        <v>8694600</v>
      </c>
      <c r="P3" s="2">
        <f t="shared" ref="P3:P33" si="17">B3-(C3+D3)</f>
        <v>82334000</v>
      </c>
      <c r="Q3" s="2">
        <v>22917000000</v>
      </c>
      <c r="R3" s="2">
        <v>147697000000</v>
      </c>
      <c r="S3" s="9">
        <f t="shared" ref="S3:S31" si="18">Q3/B3</f>
        <v>237.74547944352807</v>
      </c>
      <c r="T3" s="2">
        <f t="shared" ref="T3:T32" si="19">R3/C3</f>
        <v>14820.683150036124</v>
      </c>
      <c r="U3" s="9">
        <f t="shared" ref="U3:U31" si="20">Q3/(B3-(C3+D3))</f>
        <v>278.34187577428526</v>
      </c>
      <c r="V3" s="2">
        <v>1559</v>
      </c>
      <c r="W3" s="1">
        <v>62</v>
      </c>
      <c r="X3" s="2">
        <v>1233</v>
      </c>
      <c r="Y3" s="1">
        <v>58</v>
      </c>
      <c r="Z3" s="1">
        <v>207</v>
      </c>
      <c r="AA3" s="17">
        <f t="shared" ref="AA3:AA61" si="21">((X3*10^6)/C3)/365</f>
        <v>0.33897429073822166</v>
      </c>
      <c r="AB3" s="39">
        <f t="shared" si="0"/>
        <v>43.652000000000001</v>
      </c>
      <c r="AC3" s="2">
        <v>4786</v>
      </c>
      <c r="AD3" s="1">
        <v>183</v>
      </c>
      <c r="AE3" s="1">
        <v>200</v>
      </c>
      <c r="AF3" s="2">
        <v>2895</v>
      </c>
      <c r="AG3" s="1">
        <v>71</v>
      </c>
      <c r="AH3" s="1">
        <v>194</v>
      </c>
      <c r="AI3" s="1">
        <v>556</v>
      </c>
      <c r="AJ3" s="1">
        <v>303</v>
      </c>
      <c r="AK3" s="1">
        <v>384</v>
      </c>
      <c r="AL3" s="1">
        <f t="shared" si="1"/>
        <v>134.00799999999998</v>
      </c>
      <c r="AM3" s="16">
        <f t="shared" ref="AM3:AM62" si="22">((AF3*10^6)/E3)/365</f>
        <v>0.2438977745654976</v>
      </c>
      <c r="AN3" s="16">
        <f t="shared" ref="AN3:AN62" si="23">((AK3*10^6)/J3)/365</f>
        <v>8.2741234331148092E-2</v>
      </c>
      <c r="AO3" s="2">
        <v>6346</v>
      </c>
      <c r="AP3" s="1">
        <v>607</v>
      </c>
      <c r="AQ3" s="1">
        <v>598</v>
      </c>
      <c r="AR3" s="1">
        <v>7</v>
      </c>
      <c r="AS3" s="1">
        <v>2</v>
      </c>
      <c r="AT3" s="1">
        <f t="shared" si="2"/>
        <v>16.995999999999999</v>
      </c>
      <c r="AU3" s="1">
        <v>126</v>
      </c>
      <c r="AV3" s="1">
        <v>14</v>
      </c>
      <c r="AW3" s="1">
        <v>7</v>
      </c>
      <c r="AX3" s="1">
        <v>5</v>
      </c>
      <c r="AY3" s="1">
        <v>6</v>
      </c>
      <c r="AZ3" s="1">
        <v>12</v>
      </c>
      <c r="BA3" s="1">
        <v>12</v>
      </c>
      <c r="BB3" s="1">
        <v>69</v>
      </c>
      <c r="BC3" s="1">
        <f t="shared" si="3"/>
        <v>3.528</v>
      </c>
      <c r="BD3" s="1">
        <v>17.600000000000001</v>
      </c>
      <c r="BE3" s="1">
        <v>10.6</v>
      </c>
      <c r="BF3" s="1">
        <v>7</v>
      </c>
      <c r="BG3" s="1" t="s">
        <v>48</v>
      </c>
      <c r="BH3" s="1">
        <f t="shared" si="4"/>
        <v>4.6640000000000006</v>
      </c>
      <c r="BI3" s="1">
        <v>20.3</v>
      </c>
      <c r="BJ3" s="1">
        <v>13.6</v>
      </c>
      <c r="BK3" s="1">
        <v>6.6</v>
      </c>
      <c r="BL3" s="2">
        <f t="shared" si="5"/>
        <v>2166</v>
      </c>
      <c r="BM3" s="2">
        <f t="shared" si="6"/>
        <v>4912</v>
      </c>
      <c r="BN3" s="9">
        <f t="shared" si="7"/>
        <v>65.311999999999998</v>
      </c>
      <c r="BO3" s="9">
        <f t="shared" si="8"/>
        <v>142.91550000000001</v>
      </c>
      <c r="BP3" s="16">
        <f t="shared" si="9"/>
        <v>0.97488873463915982</v>
      </c>
      <c r="BQ3" s="17">
        <f t="shared" si="10"/>
        <v>13.748499786621284</v>
      </c>
      <c r="BT3">
        <f t="shared" si="11"/>
        <v>5.3795000000000002</v>
      </c>
      <c r="BX3">
        <f t="shared" si="12"/>
        <v>4.6639999999999997</v>
      </c>
      <c r="CT3" s="38">
        <v>2030</v>
      </c>
      <c r="CU3" s="2">
        <f>B42</f>
        <v>93594500</v>
      </c>
      <c r="CV3" s="2">
        <f>P42</f>
        <v>79549600</v>
      </c>
      <c r="CW3" s="2">
        <f>Q42</f>
        <v>28421085890.293148</v>
      </c>
      <c r="CX3" s="39">
        <v>303</v>
      </c>
      <c r="CY3" s="39">
        <f>BO42</f>
        <v>156.22162232926567</v>
      </c>
      <c r="CZ3" s="39">
        <f>BQ43</f>
        <v>11.94730151840799</v>
      </c>
      <c r="DA3" s="11">
        <f>(CZ3-CZ2)/CZ2</f>
        <v>-6.3620363318165868E-2</v>
      </c>
      <c r="DB3" s="39">
        <f>BU42</f>
        <v>68.732874151573483</v>
      </c>
      <c r="DC3" s="1">
        <f>(CY3*10^9)/CU3</f>
        <v>1669.132505962056</v>
      </c>
      <c r="DD3">
        <f t="shared" ref="DD3:DD4" si="24">(CY3*10^9)/CV3</f>
        <v>1963.8266230033294</v>
      </c>
      <c r="DF3" s="38">
        <v>2030</v>
      </c>
      <c r="DG3" s="51">
        <f>B42</f>
        <v>93594500</v>
      </c>
      <c r="DH3" s="51">
        <f>C42+D42</f>
        <v>14044900</v>
      </c>
      <c r="DI3" s="51">
        <f>R42</f>
        <v>256655277274.74011</v>
      </c>
      <c r="DJ3" s="51">
        <f>T42</f>
        <v>27186.907045754429</v>
      </c>
      <c r="DK3">
        <f>BN42</f>
        <v>87.075998433960024</v>
      </c>
      <c r="DL3" s="52">
        <f>BP42</f>
        <v>0.74796625927929239</v>
      </c>
      <c r="DM3" s="53">
        <f>(DL3-DL2)/DL2</f>
        <v>-0.15424214224804839</v>
      </c>
      <c r="DN3" s="5">
        <f>BY42</f>
        <v>48.002092905838957</v>
      </c>
    </row>
    <row r="4" spans="1:120" x14ac:dyDescent="0.3">
      <c r="A4" s="1">
        <v>1992</v>
      </c>
      <c r="B4" s="2">
        <v>97556000</v>
      </c>
      <c r="C4" s="2">
        <v>9728200</v>
      </c>
      <c r="D4" s="2">
        <v>4131400</v>
      </c>
      <c r="E4" s="2">
        <v>33006800</v>
      </c>
      <c r="F4" s="11">
        <f t="shared" si="13"/>
        <v>0.39436343737604007</v>
      </c>
      <c r="G4" s="2">
        <v>5642900</v>
      </c>
      <c r="H4" s="2">
        <v>8048100</v>
      </c>
      <c r="I4" s="2">
        <v>16423500</v>
      </c>
      <c r="J4" s="2">
        <v>11942000</v>
      </c>
      <c r="K4" s="12">
        <f t="shared" si="14"/>
        <v>0.14268236148747138</v>
      </c>
      <c r="L4" s="2">
        <v>2239000</v>
      </c>
      <c r="M4" s="2">
        <v>18336100</v>
      </c>
      <c r="N4" s="2">
        <f t="shared" si="15"/>
        <v>97556000</v>
      </c>
      <c r="O4" s="2">
        <f t="shared" si="16"/>
        <v>10124400</v>
      </c>
      <c r="P4" s="2">
        <f t="shared" si="17"/>
        <v>83696400</v>
      </c>
      <c r="Q4" s="2">
        <v>23086000000</v>
      </c>
      <c r="R4" s="2">
        <v>150847000000</v>
      </c>
      <c r="S4" s="9">
        <f t="shared" si="18"/>
        <v>236.64356882200991</v>
      </c>
      <c r="T4" s="2">
        <f t="shared" si="19"/>
        <v>15506.157356962234</v>
      </c>
      <c r="U4" s="9">
        <f t="shared" si="20"/>
        <v>275.83026271141887</v>
      </c>
      <c r="V4" s="2">
        <v>1538</v>
      </c>
      <c r="W4" s="1">
        <v>60</v>
      </c>
      <c r="X4" s="2">
        <v>1214</v>
      </c>
      <c r="Y4" s="1">
        <v>58</v>
      </c>
      <c r="Z4" s="1">
        <v>207</v>
      </c>
      <c r="AA4" s="17">
        <f t="shared" si="21"/>
        <v>0.34189545828213586</v>
      </c>
      <c r="AB4" s="39">
        <f t="shared" si="0"/>
        <v>43.064</v>
      </c>
      <c r="AC4" s="2">
        <v>4999</v>
      </c>
      <c r="AD4" s="1">
        <v>185</v>
      </c>
      <c r="AE4" s="1">
        <v>209</v>
      </c>
      <c r="AF4" s="2">
        <v>2995</v>
      </c>
      <c r="AG4" s="1">
        <v>78</v>
      </c>
      <c r="AH4" s="1">
        <v>208</v>
      </c>
      <c r="AI4" s="1">
        <v>617</v>
      </c>
      <c r="AJ4" s="1">
        <v>325</v>
      </c>
      <c r="AK4" s="1">
        <v>382</v>
      </c>
      <c r="AL4" s="1">
        <f t="shared" si="1"/>
        <v>139.97199999999998</v>
      </c>
      <c r="AM4" s="16">
        <f t="shared" si="22"/>
        <v>0.24859966588868945</v>
      </c>
      <c r="AN4" s="16">
        <f t="shared" si="23"/>
        <v>8.7638196488507236E-2</v>
      </c>
      <c r="AO4" s="2">
        <v>6537</v>
      </c>
      <c r="AP4" s="1">
        <v>591</v>
      </c>
      <c r="AQ4" s="1">
        <v>582</v>
      </c>
      <c r="AR4" s="1">
        <v>7</v>
      </c>
      <c r="AS4" s="1">
        <v>2</v>
      </c>
      <c r="AT4" s="1">
        <f t="shared" si="2"/>
        <v>16.547999999999998</v>
      </c>
      <c r="AU4" s="1">
        <v>129</v>
      </c>
      <c r="AV4" s="1">
        <v>14</v>
      </c>
      <c r="AW4" s="1">
        <v>7</v>
      </c>
      <c r="AX4" s="1">
        <v>5</v>
      </c>
      <c r="AY4" s="1">
        <v>6</v>
      </c>
      <c r="AZ4" s="1">
        <v>13</v>
      </c>
      <c r="BA4" s="1">
        <v>13</v>
      </c>
      <c r="BB4" s="1">
        <v>70</v>
      </c>
      <c r="BC4" s="1">
        <f t="shared" si="3"/>
        <v>3.6120000000000001</v>
      </c>
      <c r="BD4" s="1">
        <v>17.7</v>
      </c>
      <c r="BE4" s="1">
        <v>10.5</v>
      </c>
      <c r="BF4" s="1">
        <v>7.2</v>
      </c>
      <c r="BG4" s="1" t="s">
        <v>48</v>
      </c>
      <c r="BH4" s="1">
        <f t="shared" si="4"/>
        <v>4.6905000000000001</v>
      </c>
      <c r="BI4" s="1">
        <v>20.100000000000001</v>
      </c>
      <c r="BJ4" s="1">
        <v>13.5</v>
      </c>
      <c r="BK4" s="1">
        <v>6.6</v>
      </c>
      <c r="BL4" s="2">
        <f t="shared" si="5"/>
        <v>2129</v>
      </c>
      <c r="BM4" s="2">
        <f t="shared" si="6"/>
        <v>5128</v>
      </c>
      <c r="BN4" s="9">
        <f t="shared" si="7"/>
        <v>64.302500000000009</v>
      </c>
      <c r="BO4" s="9">
        <f t="shared" si="8"/>
        <v>148.91050000000001</v>
      </c>
      <c r="BP4" s="16">
        <f t="shared" si="9"/>
        <v>0.93977724150960906</v>
      </c>
      <c r="BQ4" s="17">
        <f t="shared" si="10"/>
        <v>14.220352876635191</v>
      </c>
      <c r="BT4">
        <f t="shared" si="11"/>
        <v>5.3265000000000002</v>
      </c>
      <c r="BX4">
        <f t="shared" si="12"/>
        <v>4.6905000000000001</v>
      </c>
      <c r="CR4" s="29" t="s">
        <v>61</v>
      </c>
      <c r="CS4" s="30"/>
      <c r="CT4" s="38">
        <v>2050</v>
      </c>
      <c r="CU4" s="2">
        <f>B62</f>
        <v>93594500</v>
      </c>
      <c r="CV4" s="2">
        <f>P62</f>
        <v>79549600</v>
      </c>
      <c r="CW4" s="2">
        <f>Q62</f>
        <v>31228920890.293148</v>
      </c>
      <c r="CX4" s="39">
        <f>CW4/CU4</f>
        <v>333.66192340675093</v>
      </c>
      <c r="CY4" s="39">
        <f>BO62</f>
        <v>124.1642538352347</v>
      </c>
      <c r="CZ4" s="9">
        <f>BQ62</f>
        <v>8.7654324736952365</v>
      </c>
      <c r="DA4" s="11">
        <f>(CZ4-CZ2)/(CZ2)</f>
        <v>-0.3130019810388443</v>
      </c>
      <c r="DB4" s="39">
        <f>BU62</f>
        <v>-96.148025025765904</v>
      </c>
      <c r="DC4" s="1">
        <f>(CY4*10^9)/CU4</f>
        <v>1326.6191265003254</v>
      </c>
      <c r="DD4">
        <f t="shared" si="24"/>
        <v>1560.8407061158662</v>
      </c>
      <c r="DF4" s="38">
        <v>2050</v>
      </c>
      <c r="DG4" s="51">
        <f>B62</f>
        <v>93594500</v>
      </c>
      <c r="DH4" s="51">
        <f>C62+D62</f>
        <v>14044900</v>
      </c>
      <c r="DI4" s="51">
        <f>R62</f>
        <v>332306706184.45001</v>
      </c>
      <c r="DJ4" s="51">
        <f>T62</f>
        <v>35200.490041147619</v>
      </c>
      <c r="DK4">
        <f>BN62</f>
        <v>69.887887848175737</v>
      </c>
      <c r="DL4" s="52">
        <f>BP62</f>
        <v>0.46365671363346989</v>
      </c>
      <c r="DM4" s="53">
        <f>(DL4-DL2)/DL2</f>
        <v>-0.47572326426488298</v>
      </c>
      <c r="DN4" s="5">
        <f>BY62</f>
        <v>-49.588541392094051</v>
      </c>
    </row>
    <row r="5" spans="1:120" x14ac:dyDescent="0.3">
      <c r="A5" s="1">
        <v>1993</v>
      </c>
      <c r="B5" s="2">
        <v>99175900</v>
      </c>
      <c r="C5" s="2">
        <v>9658100</v>
      </c>
      <c r="D5" s="2">
        <v>4176200</v>
      </c>
      <c r="E5" s="2">
        <v>33364900</v>
      </c>
      <c r="F5" s="11">
        <f t="shared" si="13"/>
        <v>0.39095704791098362</v>
      </c>
      <c r="G5" s="2">
        <v>6091900</v>
      </c>
      <c r="H5" s="2">
        <v>8550100</v>
      </c>
      <c r="I5" s="2">
        <v>16939600</v>
      </c>
      <c r="J5" s="2">
        <v>12789000</v>
      </c>
      <c r="K5" s="12">
        <f t="shared" si="14"/>
        <v>0.14985657639416181</v>
      </c>
      <c r="L5" s="2">
        <v>2277600</v>
      </c>
      <c r="M5" s="2">
        <v>18117500</v>
      </c>
      <c r="N5" s="2">
        <f t="shared" si="15"/>
        <v>99175900</v>
      </c>
      <c r="O5" s="2">
        <f t="shared" si="16"/>
        <v>10242500</v>
      </c>
      <c r="P5" s="2">
        <f t="shared" si="17"/>
        <v>85341600</v>
      </c>
      <c r="Q5" s="2">
        <v>23049000000</v>
      </c>
      <c r="R5" s="2">
        <v>150636000000</v>
      </c>
      <c r="S5" s="9">
        <f t="shared" si="18"/>
        <v>232.40525167908737</v>
      </c>
      <c r="T5" s="2">
        <f t="shared" si="19"/>
        <v>15596.856524575227</v>
      </c>
      <c r="U5" s="9">
        <f t="shared" si="20"/>
        <v>270.07930481734581</v>
      </c>
      <c r="V5" s="2">
        <v>1526</v>
      </c>
      <c r="W5" s="1">
        <v>60</v>
      </c>
      <c r="X5" s="2">
        <v>1201</v>
      </c>
      <c r="Y5" s="1">
        <v>57</v>
      </c>
      <c r="Z5" s="1">
        <v>207</v>
      </c>
      <c r="AA5" s="17">
        <f t="shared" si="21"/>
        <v>0.34068926174963082</v>
      </c>
      <c r="AB5" s="39">
        <f t="shared" si="0"/>
        <v>42.728000000000002</v>
      </c>
      <c r="AC5" s="2">
        <v>5110</v>
      </c>
      <c r="AD5" s="1">
        <v>187</v>
      </c>
      <c r="AE5" s="1">
        <v>214</v>
      </c>
      <c r="AF5" s="2">
        <v>3053</v>
      </c>
      <c r="AG5" s="1">
        <v>83</v>
      </c>
      <c r="AH5" s="1">
        <v>225</v>
      </c>
      <c r="AI5" s="1">
        <v>637</v>
      </c>
      <c r="AJ5" s="1">
        <v>344</v>
      </c>
      <c r="AK5" s="1">
        <v>366</v>
      </c>
      <c r="AL5" s="1">
        <f t="shared" si="1"/>
        <v>143.08000000000001</v>
      </c>
      <c r="AM5" s="16">
        <f t="shared" si="22"/>
        <v>0.25069409953705346</v>
      </c>
      <c r="AN5" s="16">
        <f t="shared" si="23"/>
        <v>7.8406421614465344E-2</v>
      </c>
      <c r="AO5" s="2">
        <v>6636</v>
      </c>
      <c r="AP5" s="1">
        <v>614</v>
      </c>
      <c r="AQ5" s="1">
        <v>606</v>
      </c>
      <c r="AR5" s="1">
        <v>7</v>
      </c>
      <c r="AS5" s="1">
        <v>2</v>
      </c>
      <c r="AT5" s="1">
        <f t="shared" si="2"/>
        <v>17.192</v>
      </c>
      <c r="AU5" s="1">
        <v>130</v>
      </c>
      <c r="AV5" s="1">
        <v>13</v>
      </c>
      <c r="AW5" s="1">
        <v>7</v>
      </c>
      <c r="AX5" s="1">
        <v>5</v>
      </c>
      <c r="AY5" s="1">
        <v>6</v>
      </c>
      <c r="AZ5" s="1">
        <v>14</v>
      </c>
      <c r="BA5" s="1">
        <v>14</v>
      </c>
      <c r="BB5" s="1">
        <v>71</v>
      </c>
      <c r="BC5" s="1">
        <f t="shared" si="3"/>
        <v>3.64</v>
      </c>
      <c r="BD5" s="1">
        <v>17.899999999999999</v>
      </c>
      <c r="BE5" s="1">
        <v>10.5</v>
      </c>
      <c r="BF5" s="1">
        <v>7.3</v>
      </c>
      <c r="BG5" s="1" t="s">
        <v>48</v>
      </c>
      <c r="BH5" s="1">
        <f t="shared" si="4"/>
        <v>4.7435</v>
      </c>
      <c r="BI5" s="1">
        <v>19.100000000000001</v>
      </c>
      <c r="BJ5" s="1">
        <v>12.8</v>
      </c>
      <c r="BK5" s="1">
        <v>6.3</v>
      </c>
      <c r="BL5" s="2">
        <f t="shared" si="5"/>
        <v>2140</v>
      </c>
      <c r="BM5" s="2">
        <f t="shared" si="6"/>
        <v>5240</v>
      </c>
      <c r="BN5" s="9">
        <f t="shared" si="7"/>
        <v>64.663499999999999</v>
      </c>
      <c r="BO5" s="9">
        <f t="shared" si="8"/>
        <v>151.78149999999999</v>
      </c>
      <c r="BP5" s="16">
        <f t="shared" si="9"/>
        <v>0.9463769973313152</v>
      </c>
      <c r="BQ5" s="17">
        <f t="shared" si="10"/>
        <v>14.517789514946418</v>
      </c>
      <c r="BT5">
        <f t="shared" si="11"/>
        <v>5.0614999999999997</v>
      </c>
      <c r="BX5">
        <f t="shared" si="12"/>
        <v>4.7435</v>
      </c>
      <c r="CR5" s="18" t="s">
        <v>121</v>
      </c>
      <c r="CS5" s="31">
        <v>8.5</v>
      </c>
    </row>
    <row r="6" spans="1:120" x14ac:dyDescent="0.3">
      <c r="A6" s="1">
        <v>1994</v>
      </c>
      <c r="B6" s="2">
        <v>100973600</v>
      </c>
      <c r="C6" s="2">
        <v>9507000</v>
      </c>
      <c r="D6" s="2">
        <v>4124500</v>
      </c>
      <c r="E6" s="2">
        <v>34602900</v>
      </c>
      <c r="F6" s="11">
        <f t="shared" si="13"/>
        <v>0.39617664333694746</v>
      </c>
      <c r="G6" s="2">
        <v>6364300</v>
      </c>
      <c r="H6" s="2">
        <v>9104100</v>
      </c>
      <c r="I6" s="2">
        <v>17085900</v>
      </c>
      <c r="J6" s="2">
        <v>13024000</v>
      </c>
      <c r="K6" s="12">
        <f t="shared" si="14"/>
        <v>0.14911480259805981</v>
      </c>
      <c r="L6" s="2">
        <v>2312000</v>
      </c>
      <c r="M6" s="2">
        <v>17872900</v>
      </c>
      <c r="N6" s="2">
        <f t="shared" si="15"/>
        <v>100973600</v>
      </c>
      <c r="O6" s="2">
        <f t="shared" si="16"/>
        <v>10426200</v>
      </c>
      <c r="P6" s="2">
        <f t="shared" si="17"/>
        <v>87342100</v>
      </c>
      <c r="Q6" s="2">
        <v>24386000000</v>
      </c>
      <c r="R6" s="2">
        <v>153602000000</v>
      </c>
      <c r="S6" s="9">
        <f t="shared" si="18"/>
        <v>241.50867157355981</v>
      </c>
      <c r="T6" s="2">
        <f t="shared" si="19"/>
        <v>16156.726622488692</v>
      </c>
      <c r="U6" s="9">
        <f t="shared" si="20"/>
        <v>279.20098097023083</v>
      </c>
      <c r="V6" s="2">
        <v>1502</v>
      </c>
      <c r="W6" s="1">
        <v>59</v>
      </c>
      <c r="X6" s="2">
        <v>1185</v>
      </c>
      <c r="Y6" s="1">
        <v>56</v>
      </c>
      <c r="Z6" s="1">
        <v>202</v>
      </c>
      <c r="AA6" s="17">
        <f t="shared" si="21"/>
        <v>0.34149314636223344</v>
      </c>
      <c r="AB6" s="39">
        <f t="shared" si="0"/>
        <v>42.055999999999997</v>
      </c>
      <c r="AC6" s="2">
        <v>5253</v>
      </c>
      <c r="AD6" s="1">
        <v>192</v>
      </c>
      <c r="AE6" s="1">
        <v>218</v>
      </c>
      <c r="AF6" s="2">
        <v>3165</v>
      </c>
      <c r="AG6" s="1">
        <v>87</v>
      </c>
      <c r="AH6" s="1">
        <v>237</v>
      </c>
      <c r="AI6" s="1">
        <v>609</v>
      </c>
      <c r="AJ6" s="1">
        <v>346</v>
      </c>
      <c r="AK6" s="1">
        <v>400</v>
      </c>
      <c r="AL6" s="1">
        <f t="shared" si="1"/>
        <v>147.084</v>
      </c>
      <c r="AM6" s="16">
        <f t="shared" si="22"/>
        <v>0.25059266352566778</v>
      </c>
      <c r="AN6" s="16">
        <f t="shared" si="23"/>
        <v>8.4143919760358107E-2</v>
      </c>
      <c r="AO6" s="2">
        <v>6756</v>
      </c>
      <c r="AP6" s="1">
        <v>655</v>
      </c>
      <c r="AQ6" s="1">
        <v>647</v>
      </c>
      <c r="AR6" s="1">
        <v>7</v>
      </c>
      <c r="AS6" s="1">
        <v>2</v>
      </c>
      <c r="AT6" s="1">
        <f t="shared" si="2"/>
        <v>18.34</v>
      </c>
      <c r="AU6" s="1">
        <v>135</v>
      </c>
      <c r="AV6" s="1">
        <v>14</v>
      </c>
      <c r="AW6" s="1">
        <v>8</v>
      </c>
      <c r="AX6" s="1">
        <v>5</v>
      </c>
      <c r="AY6" s="1">
        <v>7</v>
      </c>
      <c r="AZ6" s="1">
        <v>14</v>
      </c>
      <c r="BA6" s="1">
        <v>13</v>
      </c>
      <c r="BB6" s="1">
        <v>74</v>
      </c>
      <c r="BC6" s="1">
        <f t="shared" si="3"/>
        <v>3.7800000000000002</v>
      </c>
      <c r="BD6" s="1">
        <v>18</v>
      </c>
      <c r="BE6" s="1">
        <v>10.6</v>
      </c>
      <c r="BF6" s="1">
        <v>7.4</v>
      </c>
      <c r="BG6" s="1" t="s">
        <v>48</v>
      </c>
      <c r="BH6" s="1">
        <f t="shared" si="4"/>
        <v>4.7699999999999996</v>
      </c>
      <c r="BI6" s="1">
        <v>20.9</v>
      </c>
      <c r="BJ6" s="1">
        <v>13.9</v>
      </c>
      <c r="BK6" s="1">
        <v>7</v>
      </c>
      <c r="BL6" s="2">
        <f t="shared" si="5"/>
        <v>2157</v>
      </c>
      <c r="BM6" s="2">
        <f t="shared" si="6"/>
        <v>5388</v>
      </c>
      <c r="BN6" s="9">
        <f t="shared" si="7"/>
        <v>65.165999999999997</v>
      </c>
      <c r="BO6" s="9">
        <f t="shared" si="8"/>
        <v>156.4025</v>
      </c>
      <c r="BP6" s="16">
        <f t="shared" si="9"/>
        <v>0.93531508001197883</v>
      </c>
      <c r="BQ6" s="17">
        <f t="shared" si="10"/>
        <v>14.139591550479782</v>
      </c>
      <c r="BT6">
        <f t="shared" si="11"/>
        <v>5.5385</v>
      </c>
      <c r="BX6">
        <f t="shared" si="12"/>
        <v>4.7699999999999996</v>
      </c>
      <c r="CR6" s="18" t="s">
        <v>122</v>
      </c>
      <c r="CS6" s="31">
        <v>0.27</v>
      </c>
      <c r="CT6" s="56"/>
    </row>
    <row r="7" spans="1:120" x14ac:dyDescent="0.3">
      <c r="A7" s="1">
        <v>1995</v>
      </c>
      <c r="B7" s="2">
        <v>102785200</v>
      </c>
      <c r="C7" s="2">
        <v>9481800</v>
      </c>
      <c r="D7" s="2">
        <v>4121300</v>
      </c>
      <c r="E7" s="2">
        <v>35190300</v>
      </c>
      <c r="F7" s="11">
        <f t="shared" si="13"/>
        <v>0.39458927295948404</v>
      </c>
      <c r="G7" s="2">
        <v>6451500</v>
      </c>
      <c r="H7" s="2">
        <v>9302200</v>
      </c>
      <c r="I7" s="2">
        <v>17512500</v>
      </c>
      <c r="J7" s="2">
        <v>12420000</v>
      </c>
      <c r="K7" s="12">
        <f t="shared" si="14"/>
        <v>0.13926561496084977</v>
      </c>
      <c r="L7" s="2">
        <v>2384800</v>
      </c>
      <c r="M7" s="2">
        <v>18340800</v>
      </c>
      <c r="N7" s="2">
        <f t="shared" si="15"/>
        <v>102785200</v>
      </c>
      <c r="O7" s="2">
        <f t="shared" si="16"/>
        <v>11544000</v>
      </c>
      <c r="P7" s="2">
        <f t="shared" si="17"/>
        <v>89182100</v>
      </c>
      <c r="Q7" s="2">
        <v>25224000000</v>
      </c>
      <c r="R7" s="2">
        <v>155292000000</v>
      </c>
      <c r="S7" s="9">
        <f t="shared" si="18"/>
        <v>245.40498048357156</v>
      </c>
      <c r="T7" s="2">
        <f t="shared" si="19"/>
        <v>16377.902929823451</v>
      </c>
      <c r="U7" s="9">
        <f t="shared" si="20"/>
        <v>282.83702671275961</v>
      </c>
      <c r="V7" s="2">
        <v>1498</v>
      </c>
      <c r="W7" s="1">
        <v>59</v>
      </c>
      <c r="X7" s="2">
        <v>1183</v>
      </c>
      <c r="Y7" s="1">
        <v>56</v>
      </c>
      <c r="Z7" s="1">
        <v>201</v>
      </c>
      <c r="AA7" s="17">
        <f t="shared" si="21"/>
        <v>0.34182284908044452</v>
      </c>
      <c r="AB7" s="39">
        <f t="shared" si="0"/>
        <v>41.944000000000003</v>
      </c>
      <c r="AC7" s="2">
        <v>5419</v>
      </c>
      <c r="AD7" s="1">
        <v>193</v>
      </c>
      <c r="AE7" s="1">
        <v>225</v>
      </c>
      <c r="AF7" s="2">
        <v>3222</v>
      </c>
      <c r="AG7" s="1">
        <v>85</v>
      </c>
      <c r="AH7" s="1">
        <v>241</v>
      </c>
      <c r="AI7" s="1">
        <v>662</v>
      </c>
      <c r="AJ7" s="1">
        <v>375</v>
      </c>
      <c r="AK7" s="1">
        <v>416</v>
      </c>
      <c r="AL7" s="1">
        <f t="shared" si="1"/>
        <v>151.732</v>
      </c>
      <c r="AM7" s="16">
        <f t="shared" si="22"/>
        <v>0.25084745683537718</v>
      </c>
      <c r="AN7" s="16">
        <f t="shared" si="23"/>
        <v>9.1765380627798737E-2</v>
      </c>
      <c r="AO7" s="2">
        <v>6917</v>
      </c>
      <c r="AP7" s="1">
        <v>684</v>
      </c>
      <c r="AQ7" s="1">
        <v>676</v>
      </c>
      <c r="AR7" s="1">
        <v>7</v>
      </c>
      <c r="AS7" s="1">
        <v>2</v>
      </c>
      <c r="AT7" s="1">
        <f t="shared" si="2"/>
        <v>19.152000000000001</v>
      </c>
      <c r="AU7" s="1">
        <v>139</v>
      </c>
      <c r="AV7" s="1">
        <v>14</v>
      </c>
      <c r="AW7" s="1">
        <v>8</v>
      </c>
      <c r="AX7" s="1">
        <v>5</v>
      </c>
      <c r="AY7" s="1">
        <v>7</v>
      </c>
      <c r="AZ7" s="1">
        <v>15</v>
      </c>
      <c r="BA7" s="1">
        <v>14</v>
      </c>
      <c r="BB7" s="1">
        <v>76</v>
      </c>
      <c r="BC7" s="1">
        <f t="shared" si="3"/>
        <v>3.8920000000000003</v>
      </c>
      <c r="BD7" s="1">
        <v>18.2</v>
      </c>
      <c r="BE7" s="1">
        <v>10.7</v>
      </c>
      <c r="BF7" s="1">
        <v>7.5</v>
      </c>
      <c r="BG7" s="1" t="s">
        <v>48</v>
      </c>
      <c r="BH7" s="1">
        <f t="shared" si="4"/>
        <v>4.8230000000000004</v>
      </c>
      <c r="BI7" s="1">
        <v>21.8</v>
      </c>
      <c r="BJ7" s="1">
        <v>14.4</v>
      </c>
      <c r="BK7" s="1">
        <v>7.4</v>
      </c>
      <c r="BL7" s="2">
        <f t="shared" si="5"/>
        <v>2182</v>
      </c>
      <c r="BM7" s="2">
        <f t="shared" si="6"/>
        <v>5558</v>
      </c>
      <c r="BN7" s="9">
        <f t="shared" si="7"/>
        <v>65.918999999999997</v>
      </c>
      <c r="BO7" s="9">
        <f t="shared" si="8"/>
        <v>161.40099999999998</v>
      </c>
      <c r="BP7" s="16">
        <f t="shared" si="9"/>
        <v>0.93582635151842963</v>
      </c>
      <c r="BQ7" s="17">
        <f t="shared" si="10"/>
        <v>14.106718705201393</v>
      </c>
      <c r="BT7">
        <f t="shared" si="11"/>
        <v>5.7770000000000001</v>
      </c>
      <c r="BX7">
        <f t="shared" si="12"/>
        <v>4.8230000000000004</v>
      </c>
      <c r="CR7" s="18" t="s">
        <v>62</v>
      </c>
      <c r="CS7" s="31">
        <v>28</v>
      </c>
    </row>
    <row r="8" spans="1:120" x14ac:dyDescent="0.3">
      <c r="A8" s="1">
        <v>1996</v>
      </c>
      <c r="B8" s="2">
        <v>103548200</v>
      </c>
      <c r="C8" s="2">
        <v>9419900</v>
      </c>
      <c r="D8" s="2">
        <v>4090300</v>
      </c>
      <c r="E8" s="2">
        <v>35318700</v>
      </c>
      <c r="F8" s="11">
        <f t="shared" si="13"/>
        <v>0.39226437726293345</v>
      </c>
      <c r="G8" s="2">
        <v>6188700</v>
      </c>
      <c r="H8" s="2">
        <v>9948200</v>
      </c>
      <c r="I8" s="2">
        <v>17814600</v>
      </c>
      <c r="J8" s="2">
        <v>12958000</v>
      </c>
      <c r="K8" s="12">
        <f t="shared" si="14"/>
        <v>0.14391701281681069</v>
      </c>
      <c r="L8" s="2">
        <v>2383900</v>
      </c>
      <c r="M8" s="2">
        <v>18383900</v>
      </c>
      <c r="N8" s="2">
        <f t="shared" si="15"/>
        <v>103548200</v>
      </c>
      <c r="O8" s="2">
        <f t="shared" si="16"/>
        <v>11045300</v>
      </c>
      <c r="P8" s="2">
        <f t="shared" si="17"/>
        <v>90038000</v>
      </c>
      <c r="Q8" s="2">
        <v>25527000000</v>
      </c>
      <c r="R8" s="2">
        <v>154006000000</v>
      </c>
      <c r="S8" s="9">
        <f t="shared" si="18"/>
        <v>246.52287533728253</v>
      </c>
      <c r="T8" s="2">
        <f t="shared" si="19"/>
        <v>16349.005828087347</v>
      </c>
      <c r="U8" s="9">
        <f t="shared" si="20"/>
        <v>283.51362757946646</v>
      </c>
      <c r="V8" s="2">
        <v>1481</v>
      </c>
      <c r="W8" s="1">
        <v>58</v>
      </c>
      <c r="X8" s="2">
        <v>1170</v>
      </c>
      <c r="Y8" s="1">
        <v>55</v>
      </c>
      <c r="Z8" s="1">
        <v>198</v>
      </c>
      <c r="AA8" s="17">
        <f t="shared" si="21"/>
        <v>0.34028805529302797</v>
      </c>
      <c r="AB8" s="39">
        <f t="shared" si="0"/>
        <v>41.468000000000004</v>
      </c>
      <c r="AC8" s="2">
        <v>5393</v>
      </c>
      <c r="AD8" s="1">
        <v>190</v>
      </c>
      <c r="AE8" s="1">
        <v>225</v>
      </c>
      <c r="AF8" s="2">
        <v>3238</v>
      </c>
      <c r="AG8" s="1">
        <v>84</v>
      </c>
      <c r="AH8" s="1">
        <v>234</v>
      </c>
      <c r="AI8" s="1">
        <v>639</v>
      </c>
      <c r="AJ8" s="1">
        <v>373</v>
      </c>
      <c r="AK8" s="1">
        <v>411</v>
      </c>
      <c r="AL8" s="1">
        <f t="shared" si="1"/>
        <v>151.00399999999999</v>
      </c>
      <c r="AM8" s="16">
        <f t="shared" si="22"/>
        <v>0.25117665363425973</v>
      </c>
      <c r="AN8" s="16">
        <f t="shared" si="23"/>
        <v>8.6898240257776968E-2</v>
      </c>
      <c r="AO8" s="2">
        <v>6874</v>
      </c>
      <c r="AP8" s="1">
        <v>695</v>
      </c>
      <c r="AQ8" s="1">
        <v>686</v>
      </c>
      <c r="AR8" s="1">
        <v>7</v>
      </c>
      <c r="AS8" s="1">
        <v>2</v>
      </c>
      <c r="AT8" s="1">
        <f t="shared" si="2"/>
        <v>19.459999999999997</v>
      </c>
      <c r="AU8" s="1">
        <v>136</v>
      </c>
      <c r="AV8" s="1">
        <v>14</v>
      </c>
      <c r="AW8" s="1">
        <v>8</v>
      </c>
      <c r="AX8" s="1">
        <v>5</v>
      </c>
      <c r="AY8" s="1">
        <v>6</v>
      </c>
      <c r="AZ8" s="1">
        <v>15</v>
      </c>
      <c r="BA8" s="1">
        <v>14</v>
      </c>
      <c r="BB8" s="1">
        <v>75</v>
      </c>
      <c r="BC8" s="1">
        <f t="shared" si="3"/>
        <v>3.8080000000000003</v>
      </c>
      <c r="BD8" s="1">
        <v>18.3</v>
      </c>
      <c r="BE8" s="1">
        <v>10.8</v>
      </c>
      <c r="BF8" s="1">
        <v>7.5</v>
      </c>
      <c r="BG8" s="1" t="s">
        <v>48</v>
      </c>
      <c r="BH8" s="1">
        <f t="shared" si="4"/>
        <v>4.8494999999999999</v>
      </c>
      <c r="BI8" s="1">
        <v>21.4</v>
      </c>
      <c r="BJ8" s="1">
        <v>14</v>
      </c>
      <c r="BK8" s="1">
        <v>7.4</v>
      </c>
      <c r="BL8" s="2">
        <f t="shared" si="5"/>
        <v>2176</v>
      </c>
      <c r="BM8" s="2">
        <f t="shared" si="6"/>
        <v>5529</v>
      </c>
      <c r="BN8" s="9">
        <f t="shared" si="7"/>
        <v>65.777500000000003</v>
      </c>
      <c r="BO8" s="9">
        <f t="shared" si="8"/>
        <v>160.483</v>
      </c>
      <c r="BP8" s="16">
        <f t="shared" si="9"/>
        <v>0.94161521012168348</v>
      </c>
      <c r="BQ8" s="17">
        <f t="shared" si="10"/>
        <v>13.859992614094878</v>
      </c>
      <c r="BT8">
        <f t="shared" si="11"/>
        <v>5.6710000000000003</v>
      </c>
      <c r="BX8">
        <f t="shared" si="12"/>
        <v>4.8494999999999999</v>
      </c>
      <c r="CR8" s="18" t="s">
        <v>63</v>
      </c>
      <c r="CS8" s="31">
        <v>265</v>
      </c>
    </row>
    <row r="9" spans="1:120" ht="15" thickBot="1" x14ac:dyDescent="0.35">
      <c r="A9" s="1">
        <v>1997</v>
      </c>
      <c r="B9" s="2">
        <v>101655700</v>
      </c>
      <c r="C9" s="2">
        <v>9317900</v>
      </c>
      <c r="D9" s="2">
        <v>4058400</v>
      </c>
      <c r="E9" s="2">
        <v>34457900</v>
      </c>
      <c r="F9" s="11">
        <f t="shared" si="13"/>
        <v>0.39032775483295085</v>
      </c>
      <c r="G9" s="2">
        <v>6041600</v>
      </c>
      <c r="H9" s="2">
        <v>10212200</v>
      </c>
      <c r="I9" s="2">
        <v>17391600</v>
      </c>
      <c r="J9" s="2">
        <v>13181000</v>
      </c>
      <c r="K9" s="12">
        <f t="shared" si="14"/>
        <v>0.14931003155889142</v>
      </c>
      <c r="L9" s="2">
        <v>2350400</v>
      </c>
      <c r="M9" s="2">
        <v>17825700</v>
      </c>
      <c r="N9" s="2">
        <f t="shared" si="15"/>
        <v>101655700</v>
      </c>
      <c r="O9" s="2">
        <f t="shared" si="16"/>
        <v>10252200</v>
      </c>
      <c r="P9" s="2">
        <f t="shared" si="17"/>
        <v>88279400</v>
      </c>
      <c r="Q9" s="2">
        <v>25490000000</v>
      </c>
      <c r="R9" s="2">
        <v>156091000000</v>
      </c>
      <c r="S9" s="9">
        <f t="shared" si="18"/>
        <v>250.74835941319571</v>
      </c>
      <c r="T9" s="2">
        <f t="shared" si="19"/>
        <v>16751.735906159112</v>
      </c>
      <c r="U9" s="9">
        <f t="shared" si="20"/>
        <v>288.74233399864522</v>
      </c>
      <c r="V9" s="2">
        <v>1475</v>
      </c>
      <c r="W9" s="1">
        <v>58</v>
      </c>
      <c r="X9" s="2">
        <v>1168</v>
      </c>
      <c r="Y9" s="1">
        <v>54</v>
      </c>
      <c r="Z9" s="1">
        <v>195</v>
      </c>
      <c r="AA9" s="17">
        <f t="shared" si="21"/>
        <v>0.34342502065916136</v>
      </c>
      <c r="AB9" s="39">
        <f t="shared" si="0"/>
        <v>41.300000000000004</v>
      </c>
      <c r="AC9" s="2">
        <v>5260</v>
      </c>
      <c r="AD9" s="1">
        <v>186</v>
      </c>
      <c r="AE9" s="1">
        <v>222</v>
      </c>
      <c r="AF9" s="2">
        <v>3160</v>
      </c>
      <c r="AG9" s="1">
        <v>79</v>
      </c>
      <c r="AH9" s="1">
        <v>225</v>
      </c>
      <c r="AI9" s="1">
        <v>608</v>
      </c>
      <c r="AJ9" s="1">
        <v>366</v>
      </c>
      <c r="AK9" s="1">
        <v>414</v>
      </c>
      <c r="AL9" s="1">
        <f t="shared" si="1"/>
        <v>147.28</v>
      </c>
      <c r="AM9" s="16">
        <f t="shared" si="22"/>
        <v>0.25124961900102277</v>
      </c>
      <c r="AN9" s="16">
        <f t="shared" si="23"/>
        <v>8.6051633058376889E-2</v>
      </c>
      <c r="AO9" s="2">
        <v>6735</v>
      </c>
      <c r="AP9" s="1">
        <v>725</v>
      </c>
      <c r="AQ9" s="1">
        <v>717</v>
      </c>
      <c r="AR9" s="1">
        <v>7</v>
      </c>
      <c r="AS9" s="1">
        <v>2</v>
      </c>
      <c r="AT9" s="1">
        <f t="shared" si="2"/>
        <v>20.3</v>
      </c>
      <c r="AU9" s="1">
        <v>134</v>
      </c>
      <c r="AV9" s="1">
        <v>13</v>
      </c>
      <c r="AW9" s="1">
        <v>8</v>
      </c>
      <c r="AX9" s="1">
        <v>5</v>
      </c>
      <c r="AY9" s="1">
        <v>6</v>
      </c>
      <c r="AZ9" s="1">
        <v>14</v>
      </c>
      <c r="BA9" s="1">
        <v>13</v>
      </c>
      <c r="BB9" s="1">
        <v>74</v>
      </c>
      <c r="BC9" s="1">
        <f t="shared" si="3"/>
        <v>3.7520000000000002</v>
      </c>
      <c r="BD9" s="1">
        <v>18.3</v>
      </c>
      <c r="BE9" s="1">
        <v>10.8</v>
      </c>
      <c r="BF9" s="1">
        <v>7.5</v>
      </c>
      <c r="BG9" s="1" t="s">
        <v>48</v>
      </c>
      <c r="BH9" s="1">
        <f t="shared" si="4"/>
        <v>4.8494999999999999</v>
      </c>
      <c r="BI9" s="1">
        <v>21.5</v>
      </c>
      <c r="BJ9" s="1">
        <v>13.9</v>
      </c>
      <c r="BK9" s="1">
        <v>7.6</v>
      </c>
      <c r="BL9" s="2">
        <f t="shared" si="5"/>
        <v>2200</v>
      </c>
      <c r="BM9" s="2">
        <f t="shared" si="6"/>
        <v>5394</v>
      </c>
      <c r="BN9" s="9">
        <f t="shared" si="7"/>
        <v>66.4495</v>
      </c>
      <c r="BO9" s="9">
        <f t="shared" si="8"/>
        <v>156.7295</v>
      </c>
      <c r="BP9" s="16">
        <f t="shared" si="9"/>
        <v>0.93852878570833675</v>
      </c>
      <c r="BQ9" s="17">
        <f t="shared" si="10"/>
        <v>13.555472353471949</v>
      </c>
      <c r="BT9">
        <f t="shared" si="11"/>
        <v>5.6974999999999998</v>
      </c>
      <c r="BX9">
        <f t="shared" si="12"/>
        <v>4.8494999999999999</v>
      </c>
      <c r="CR9" s="21" t="s">
        <v>70</v>
      </c>
      <c r="CS9" s="32">
        <v>2.2046199999999998</v>
      </c>
    </row>
    <row r="10" spans="1:120" ht="15" thickBot="1" x14ac:dyDescent="0.35">
      <c r="A10" s="1">
        <v>1998</v>
      </c>
      <c r="B10" s="2">
        <v>99744000</v>
      </c>
      <c r="C10" s="2">
        <v>9199000</v>
      </c>
      <c r="D10" s="2">
        <v>3985700</v>
      </c>
      <c r="E10" s="2">
        <v>33885000</v>
      </c>
      <c r="F10" s="11">
        <f t="shared" si="13"/>
        <v>0.39146573505099974</v>
      </c>
      <c r="G10" s="2">
        <v>5763900</v>
      </c>
      <c r="H10" s="2">
        <v>10050700</v>
      </c>
      <c r="I10" s="2">
        <v>17188900</v>
      </c>
      <c r="J10" s="2">
        <v>13608000</v>
      </c>
      <c r="K10" s="12">
        <f t="shared" si="14"/>
        <v>0.15721014379737358</v>
      </c>
      <c r="L10" s="2">
        <v>2269500</v>
      </c>
      <c r="M10" s="2">
        <v>17401300</v>
      </c>
      <c r="N10" s="2">
        <f t="shared" si="15"/>
        <v>99744000</v>
      </c>
      <c r="O10" s="2">
        <f t="shared" si="16"/>
        <v>9344800</v>
      </c>
      <c r="P10" s="2">
        <f t="shared" si="17"/>
        <v>86559300</v>
      </c>
      <c r="Q10" s="2">
        <v>25760000000</v>
      </c>
      <c r="R10" s="2">
        <v>157262000000</v>
      </c>
      <c r="S10" s="9">
        <f t="shared" si="18"/>
        <v>258.26114854026309</v>
      </c>
      <c r="T10" s="2">
        <f t="shared" si="19"/>
        <v>17095.553864550493</v>
      </c>
      <c r="U10" s="9">
        <f t="shared" si="20"/>
        <v>297.59944916375247</v>
      </c>
      <c r="V10" s="2">
        <v>1463</v>
      </c>
      <c r="W10" s="1">
        <v>57</v>
      </c>
      <c r="X10" s="2">
        <v>1160</v>
      </c>
      <c r="Y10" s="1">
        <v>54</v>
      </c>
      <c r="Z10" s="1">
        <v>192</v>
      </c>
      <c r="AA10" s="17">
        <f t="shared" si="21"/>
        <v>0.34548126880974261</v>
      </c>
      <c r="AB10" s="39">
        <f t="shared" si="0"/>
        <v>40.963999999999999</v>
      </c>
      <c r="AC10" s="2">
        <v>5191</v>
      </c>
      <c r="AD10" s="1">
        <v>185</v>
      </c>
      <c r="AE10" s="1">
        <v>216</v>
      </c>
      <c r="AF10" s="2">
        <v>3123</v>
      </c>
      <c r="AG10" s="1">
        <v>76</v>
      </c>
      <c r="AH10" s="1">
        <v>216</v>
      </c>
      <c r="AI10" s="1">
        <v>598</v>
      </c>
      <c r="AJ10" s="1">
        <v>363</v>
      </c>
      <c r="AK10" s="1">
        <v>414</v>
      </c>
      <c r="AL10" s="1">
        <f t="shared" si="1"/>
        <v>145.34799999999998</v>
      </c>
      <c r="AM10" s="16">
        <f t="shared" si="22"/>
        <v>0.25250595790354563</v>
      </c>
      <c r="AN10" s="16">
        <f t="shared" si="23"/>
        <v>8.3351453214466922E-2</v>
      </c>
      <c r="AO10" s="2">
        <v>6654</v>
      </c>
      <c r="AP10" s="1">
        <v>761</v>
      </c>
      <c r="AQ10" s="1">
        <v>753</v>
      </c>
      <c r="AR10" s="1">
        <v>6</v>
      </c>
      <c r="AS10" s="1">
        <v>2</v>
      </c>
      <c r="AT10" s="1">
        <f t="shared" si="2"/>
        <v>21.308</v>
      </c>
      <c r="AU10" s="1">
        <v>137</v>
      </c>
      <c r="AV10" s="1">
        <v>13</v>
      </c>
      <c r="AW10" s="1">
        <v>8</v>
      </c>
      <c r="AX10" s="1">
        <v>5</v>
      </c>
      <c r="AY10" s="1">
        <v>7</v>
      </c>
      <c r="AZ10" s="1">
        <v>15</v>
      </c>
      <c r="BA10" s="1">
        <v>13</v>
      </c>
      <c r="BB10" s="1">
        <v>76</v>
      </c>
      <c r="BC10" s="1">
        <f t="shared" si="3"/>
        <v>3.8360000000000003</v>
      </c>
      <c r="BD10" s="1">
        <v>18.399999999999999</v>
      </c>
      <c r="BE10" s="1">
        <v>10.8</v>
      </c>
      <c r="BF10" s="1">
        <v>7.6</v>
      </c>
      <c r="BG10" s="1" t="s">
        <v>48</v>
      </c>
      <c r="BH10" s="1">
        <f t="shared" si="4"/>
        <v>4.8760000000000003</v>
      </c>
      <c r="BI10" s="1">
        <v>21.6</v>
      </c>
      <c r="BJ10" s="1">
        <v>14.1</v>
      </c>
      <c r="BK10" s="1">
        <v>7.6</v>
      </c>
      <c r="BL10" s="2">
        <f t="shared" si="5"/>
        <v>2224</v>
      </c>
      <c r="BM10" s="2">
        <f t="shared" si="6"/>
        <v>5328</v>
      </c>
      <c r="BN10" s="9">
        <f t="shared" si="7"/>
        <v>67.147999999999996</v>
      </c>
      <c r="BO10" s="9">
        <f t="shared" si="8"/>
        <v>154.90799999999999</v>
      </c>
      <c r="BP10" s="16">
        <f t="shared" si="9"/>
        <v>0.94133245005150634</v>
      </c>
      <c r="BQ10" s="17">
        <f t="shared" si="10"/>
        <v>13.257502909937886</v>
      </c>
      <c r="BT10">
        <f t="shared" si="11"/>
        <v>5.7240000000000002</v>
      </c>
      <c r="BX10">
        <f t="shared" si="12"/>
        <v>4.8760000000000003</v>
      </c>
      <c r="DC10" t="s">
        <v>152</v>
      </c>
      <c r="DD10" s="65" t="s">
        <v>153</v>
      </c>
    </row>
    <row r="11" spans="1:120" ht="20.399999999999999" thickBot="1" x14ac:dyDescent="0.45">
      <c r="A11" s="1">
        <v>1999</v>
      </c>
      <c r="B11" s="2">
        <v>99115000</v>
      </c>
      <c r="C11" s="2">
        <v>9128000</v>
      </c>
      <c r="D11" s="2">
        <v>4068800</v>
      </c>
      <c r="E11" s="2">
        <v>33750400</v>
      </c>
      <c r="F11" s="11">
        <f t="shared" si="13"/>
        <v>0.39282014753567929</v>
      </c>
      <c r="G11" s="2">
        <v>5535300</v>
      </c>
      <c r="H11" s="2">
        <v>10170100</v>
      </c>
      <c r="I11" s="2">
        <v>16890900</v>
      </c>
      <c r="J11" s="2">
        <v>13283500</v>
      </c>
      <c r="K11" s="12">
        <f t="shared" si="14"/>
        <v>0.15460635814065005</v>
      </c>
      <c r="L11" s="2">
        <v>2281100</v>
      </c>
      <c r="M11" s="2">
        <v>17290400</v>
      </c>
      <c r="N11" s="2">
        <f t="shared" si="15"/>
        <v>99115000</v>
      </c>
      <c r="O11" s="2">
        <f t="shared" si="16"/>
        <v>9142700</v>
      </c>
      <c r="P11" s="2">
        <f t="shared" si="17"/>
        <v>85918200</v>
      </c>
      <c r="Q11" s="2">
        <v>26492000000</v>
      </c>
      <c r="R11" s="2">
        <v>162589000000</v>
      </c>
      <c r="S11" s="9">
        <f t="shared" si="18"/>
        <v>267.28547646673059</v>
      </c>
      <c r="T11" s="2">
        <f t="shared" si="19"/>
        <v>17812.116564417178</v>
      </c>
      <c r="U11" s="9">
        <f t="shared" si="20"/>
        <v>308.33979296586756</v>
      </c>
      <c r="V11" s="2">
        <v>1503</v>
      </c>
      <c r="W11" s="1">
        <v>58</v>
      </c>
      <c r="X11" s="2">
        <v>1191</v>
      </c>
      <c r="Y11" s="1">
        <v>55</v>
      </c>
      <c r="Z11" s="1">
        <v>199</v>
      </c>
      <c r="AA11" s="17">
        <f t="shared" si="21"/>
        <v>0.35747301694019912</v>
      </c>
      <c r="AB11" s="39">
        <f t="shared" si="0"/>
        <v>42.083999999999996</v>
      </c>
      <c r="AC11" s="2">
        <v>5159</v>
      </c>
      <c r="AD11" s="1">
        <v>186</v>
      </c>
      <c r="AE11" s="1">
        <v>216</v>
      </c>
      <c r="AF11" s="2">
        <v>3104</v>
      </c>
      <c r="AG11" s="1">
        <v>75</v>
      </c>
      <c r="AH11" s="1">
        <v>208</v>
      </c>
      <c r="AI11" s="1">
        <v>561</v>
      </c>
      <c r="AJ11" s="1">
        <v>351</v>
      </c>
      <c r="AK11" s="1">
        <v>459</v>
      </c>
      <c r="AL11" s="1">
        <f t="shared" si="1"/>
        <v>144.452</v>
      </c>
      <c r="AM11" s="16">
        <f t="shared" si="22"/>
        <v>0.25197063113447826</v>
      </c>
      <c r="AN11" s="16">
        <f t="shared" si="23"/>
        <v>9.4668893482541691E-2</v>
      </c>
      <c r="AO11" s="2">
        <v>6662</v>
      </c>
      <c r="AP11" s="1">
        <v>819</v>
      </c>
      <c r="AQ11" s="1">
        <v>811</v>
      </c>
      <c r="AR11" s="1">
        <v>7</v>
      </c>
      <c r="AS11" s="1">
        <v>2</v>
      </c>
      <c r="AT11" s="1">
        <f t="shared" si="2"/>
        <v>22.931999999999999</v>
      </c>
      <c r="AU11" s="1">
        <v>137</v>
      </c>
      <c r="AV11" s="1">
        <v>14</v>
      </c>
      <c r="AW11" s="1">
        <v>8</v>
      </c>
      <c r="AX11" s="1">
        <v>5</v>
      </c>
      <c r="AY11" s="1">
        <v>7</v>
      </c>
      <c r="AZ11" s="1">
        <v>14</v>
      </c>
      <c r="BA11" s="1">
        <v>12</v>
      </c>
      <c r="BB11" s="1">
        <v>76</v>
      </c>
      <c r="BC11" s="1">
        <f t="shared" si="3"/>
        <v>3.8360000000000003</v>
      </c>
      <c r="BD11" s="1">
        <v>17.899999999999999</v>
      </c>
      <c r="BE11" s="1">
        <v>10.4</v>
      </c>
      <c r="BF11" s="1">
        <v>7.5</v>
      </c>
      <c r="BG11" s="1" t="s">
        <v>48</v>
      </c>
      <c r="BH11" s="1">
        <f t="shared" si="4"/>
        <v>4.7435</v>
      </c>
      <c r="BI11" s="1">
        <v>24</v>
      </c>
      <c r="BJ11" s="1">
        <v>15.5</v>
      </c>
      <c r="BK11" s="1">
        <v>8.5</v>
      </c>
      <c r="BL11" s="2">
        <f t="shared" si="5"/>
        <v>2322</v>
      </c>
      <c r="BM11" s="2">
        <f t="shared" si="6"/>
        <v>5296</v>
      </c>
      <c r="BN11" s="9">
        <f t="shared" si="7"/>
        <v>69.759500000000003</v>
      </c>
      <c r="BO11" s="9">
        <f t="shared" si="8"/>
        <v>154.64800000000002</v>
      </c>
      <c r="BP11" s="16">
        <f t="shared" si="9"/>
        <v>0.94590156092970612</v>
      </c>
      <c r="BQ11" s="17">
        <f t="shared" si="10"/>
        <v>12.869548307413559</v>
      </c>
      <c r="BT11">
        <f t="shared" si="11"/>
        <v>6.36</v>
      </c>
      <c r="BX11">
        <f t="shared" si="12"/>
        <v>4.7435</v>
      </c>
      <c r="CR11" s="62" t="s">
        <v>91</v>
      </c>
      <c r="CS11" s="63"/>
      <c r="CT11" s="63"/>
      <c r="CU11" s="63"/>
      <c r="CV11" s="64"/>
      <c r="CX11" s="62" t="s">
        <v>94</v>
      </c>
      <c r="CY11" s="63"/>
      <c r="CZ11" s="63"/>
      <c r="DA11" s="63"/>
      <c r="DB11" s="64"/>
    </row>
    <row r="12" spans="1:120" ht="15" thickTop="1" x14ac:dyDescent="0.3">
      <c r="A12" s="1">
        <v>2000</v>
      </c>
      <c r="B12" s="2">
        <v>98199000</v>
      </c>
      <c r="C12" s="2">
        <v>9182800</v>
      </c>
      <c r="D12" s="2">
        <v>3999800</v>
      </c>
      <c r="E12" s="2">
        <v>33575000</v>
      </c>
      <c r="F12" s="11">
        <f t="shared" si="13"/>
        <v>0.39492380293684515</v>
      </c>
      <c r="G12" s="2">
        <v>5503000</v>
      </c>
      <c r="H12" s="2">
        <v>10146800</v>
      </c>
      <c r="I12" s="2">
        <v>16682400</v>
      </c>
      <c r="J12" s="2">
        <v>14073000</v>
      </c>
      <c r="K12" s="12">
        <f t="shared" si="14"/>
        <v>0.16553276779539006</v>
      </c>
      <c r="L12" s="2">
        <v>2293100</v>
      </c>
      <c r="M12" s="2">
        <v>16816100</v>
      </c>
      <c r="N12" s="2">
        <f t="shared" si="15"/>
        <v>98199000</v>
      </c>
      <c r="O12" s="2">
        <f t="shared" si="16"/>
        <v>8112400</v>
      </c>
      <c r="P12" s="2">
        <f t="shared" si="17"/>
        <v>85016400</v>
      </c>
      <c r="Q12" s="2">
        <v>26887000000</v>
      </c>
      <c r="R12" s="2">
        <v>167393000000</v>
      </c>
      <c r="S12" s="9">
        <f t="shared" si="18"/>
        <v>273.80115887127158</v>
      </c>
      <c r="T12" s="2">
        <f t="shared" si="19"/>
        <v>18228.971555516837</v>
      </c>
      <c r="U12" s="9">
        <f t="shared" si="20"/>
        <v>316.25662813292496</v>
      </c>
      <c r="V12" s="2">
        <v>1519</v>
      </c>
      <c r="W12" s="1">
        <v>59</v>
      </c>
      <c r="X12" s="2">
        <v>1209</v>
      </c>
      <c r="Y12" s="1">
        <v>55</v>
      </c>
      <c r="Z12" s="1">
        <v>196</v>
      </c>
      <c r="AA12" s="17">
        <f t="shared" si="21"/>
        <v>0.36071010662578823</v>
      </c>
      <c r="AB12" s="39">
        <f t="shared" si="0"/>
        <v>42.531999999999996</v>
      </c>
      <c r="AC12" s="2">
        <v>5070</v>
      </c>
      <c r="AD12" s="1">
        <v>186</v>
      </c>
      <c r="AE12" s="1">
        <v>215</v>
      </c>
      <c r="AF12" s="2">
        <v>3058</v>
      </c>
      <c r="AG12" s="1">
        <v>74</v>
      </c>
      <c r="AH12" s="1">
        <v>204</v>
      </c>
      <c r="AI12" s="1">
        <v>509</v>
      </c>
      <c r="AJ12" s="1">
        <v>323</v>
      </c>
      <c r="AK12" s="1">
        <v>502</v>
      </c>
      <c r="AL12" s="1">
        <f t="shared" si="1"/>
        <v>141.96</v>
      </c>
      <c r="AM12" s="16">
        <f t="shared" si="22"/>
        <v>0.24953334897336776</v>
      </c>
      <c r="AN12" s="16">
        <f t="shared" si="23"/>
        <v>9.7729159792043246E-2</v>
      </c>
      <c r="AO12" s="2">
        <v>6589</v>
      </c>
      <c r="AP12" s="1">
        <v>853</v>
      </c>
      <c r="AQ12" s="1">
        <v>844</v>
      </c>
      <c r="AR12" s="1">
        <v>7</v>
      </c>
      <c r="AS12" s="1">
        <v>2</v>
      </c>
      <c r="AT12" s="1">
        <f t="shared" si="2"/>
        <v>23.884</v>
      </c>
      <c r="AU12" s="1">
        <v>131</v>
      </c>
      <c r="AV12" s="1">
        <v>15</v>
      </c>
      <c r="AW12" s="1">
        <v>9</v>
      </c>
      <c r="AX12" s="1">
        <v>5</v>
      </c>
      <c r="AY12" s="1">
        <v>7</v>
      </c>
      <c r="AZ12" s="1">
        <v>13</v>
      </c>
      <c r="BA12" s="1">
        <v>11</v>
      </c>
      <c r="BB12" s="1">
        <v>71</v>
      </c>
      <c r="BC12" s="1">
        <f t="shared" si="3"/>
        <v>3.6680000000000001</v>
      </c>
      <c r="BD12" s="1">
        <v>18.100000000000001</v>
      </c>
      <c r="BE12" s="1">
        <v>10.6</v>
      </c>
      <c r="BF12" s="1">
        <v>7.6</v>
      </c>
      <c r="BG12" s="1" t="s">
        <v>48</v>
      </c>
      <c r="BH12" s="1">
        <f t="shared" si="4"/>
        <v>4.7965</v>
      </c>
      <c r="BI12" s="1">
        <v>25</v>
      </c>
      <c r="BJ12" s="1">
        <v>16.100000000000001</v>
      </c>
      <c r="BK12" s="1">
        <v>8.9</v>
      </c>
      <c r="BL12" s="2">
        <f t="shared" si="5"/>
        <v>2372</v>
      </c>
      <c r="BM12" s="2">
        <f t="shared" si="6"/>
        <v>5201</v>
      </c>
      <c r="BN12" s="9">
        <f t="shared" si="7"/>
        <v>71.212499999999991</v>
      </c>
      <c r="BO12" s="9">
        <f t="shared" si="8"/>
        <v>152.25299999999999</v>
      </c>
      <c r="BP12" s="16">
        <f t="shared" si="9"/>
        <v>0.93789167856481437</v>
      </c>
      <c r="BQ12" s="17">
        <f t="shared" si="10"/>
        <v>12.484100452263172</v>
      </c>
      <c r="BT12">
        <f t="shared" si="11"/>
        <v>6.625</v>
      </c>
      <c r="BX12">
        <f t="shared" si="12"/>
        <v>4.7965</v>
      </c>
      <c r="CR12" s="24" t="s">
        <v>73</v>
      </c>
      <c r="CS12" s="25" t="s">
        <v>72</v>
      </c>
      <c r="CT12" s="25" t="s">
        <v>76</v>
      </c>
      <c r="CU12" s="25" t="s">
        <v>88</v>
      </c>
      <c r="CV12" s="26" t="s">
        <v>87</v>
      </c>
      <c r="CX12" s="24" t="s">
        <v>73</v>
      </c>
      <c r="CY12" s="25" t="s">
        <v>72</v>
      </c>
      <c r="CZ12" s="25" t="s">
        <v>76</v>
      </c>
      <c r="DA12" s="25" t="s">
        <v>88</v>
      </c>
      <c r="DB12" s="26" t="s">
        <v>87</v>
      </c>
    </row>
    <row r="13" spans="1:120" x14ac:dyDescent="0.3">
      <c r="A13" s="1">
        <v>2001</v>
      </c>
      <c r="B13" s="2">
        <v>97297500</v>
      </c>
      <c r="C13" s="2">
        <v>9171700</v>
      </c>
      <c r="D13" s="2">
        <v>4057000</v>
      </c>
      <c r="E13" s="2">
        <v>33398200</v>
      </c>
      <c r="F13" s="11">
        <f t="shared" si="13"/>
        <v>0.39727223417010832</v>
      </c>
      <c r="G13" s="2">
        <v>5588200</v>
      </c>
      <c r="H13" s="2">
        <v>10131000</v>
      </c>
      <c r="I13" s="2">
        <v>16461200</v>
      </c>
      <c r="J13" s="2">
        <v>14276400</v>
      </c>
      <c r="K13" s="12">
        <f t="shared" si="14"/>
        <v>0.16981805378451933</v>
      </c>
      <c r="L13" s="2">
        <v>2274200</v>
      </c>
      <c r="M13" s="2">
        <v>16216000</v>
      </c>
      <c r="N13" s="2">
        <f t="shared" si="15"/>
        <v>97297500</v>
      </c>
      <c r="O13" s="2">
        <f t="shared" si="16"/>
        <v>7773000</v>
      </c>
      <c r="P13" s="2">
        <f t="shared" si="17"/>
        <v>84068800</v>
      </c>
      <c r="Q13" s="2">
        <v>26213000000</v>
      </c>
      <c r="R13" s="2">
        <v>165332000000</v>
      </c>
      <c r="S13" s="9">
        <f t="shared" si="18"/>
        <v>269.41082761633135</v>
      </c>
      <c r="T13" s="2">
        <f t="shared" si="19"/>
        <v>18026.320093330571</v>
      </c>
      <c r="U13" s="9">
        <f t="shared" si="20"/>
        <v>311.80414136992556</v>
      </c>
      <c r="V13" s="2">
        <v>1509</v>
      </c>
      <c r="W13" s="1">
        <v>56</v>
      </c>
      <c r="X13" s="2">
        <v>1200</v>
      </c>
      <c r="Y13" s="1">
        <v>55</v>
      </c>
      <c r="Z13" s="1">
        <v>197</v>
      </c>
      <c r="AA13" s="17">
        <f t="shared" si="21"/>
        <v>0.35845821743806622</v>
      </c>
      <c r="AB13" s="39">
        <f t="shared" si="0"/>
        <v>42.251999999999995</v>
      </c>
      <c r="AC13" s="2">
        <v>5037</v>
      </c>
      <c r="AD13" s="1">
        <v>187</v>
      </c>
      <c r="AE13" s="1">
        <v>213</v>
      </c>
      <c r="AF13" s="2">
        <v>3041</v>
      </c>
      <c r="AG13" s="1">
        <v>74</v>
      </c>
      <c r="AH13" s="1">
        <v>206</v>
      </c>
      <c r="AI13" s="1">
        <v>506</v>
      </c>
      <c r="AJ13" s="1">
        <v>322</v>
      </c>
      <c r="AK13" s="1">
        <v>488</v>
      </c>
      <c r="AL13" s="1">
        <f t="shared" si="1"/>
        <v>141.036</v>
      </c>
      <c r="AM13" s="16">
        <f t="shared" si="22"/>
        <v>0.24945975679273338</v>
      </c>
      <c r="AN13" s="16">
        <f t="shared" si="23"/>
        <v>9.3650100961717442E-2</v>
      </c>
      <c r="AO13" s="2">
        <v>6546</v>
      </c>
      <c r="AP13" s="1">
        <v>903</v>
      </c>
      <c r="AQ13" s="1">
        <v>894</v>
      </c>
      <c r="AR13" s="1">
        <v>7</v>
      </c>
      <c r="AS13" s="1">
        <v>2</v>
      </c>
      <c r="AT13" s="1">
        <f t="shared" si="2"/>
        <v>25.283999999999999</v>
      </c>
      <c r="AU13" s="1">
        <v>134</v>
      </c>
      <c r="AV13" s="1">
        <v>15</v>
      </c>
      <c r="AW13" s="1">
        <v>9</v>
      </c>
      <c r="AX13" s="1">
        <v>5</v>
      </c>
      <c r="AY13" s="1">
        <v>7</v>
      </c>
      <c r="AZ13" s="1">
        <v>13</v>
      </c>
      <c r="BA13" s="1">
        <v>11</v>
      </c>
      <c r="BB13" s="1">
        <v>73</v>
      </c>
      <c r="BC13" s="1">
        <f t="shared" si="3"/>
        <v>3.7520000000000002</v>
      </c>
      <c r="BD13" s="1">
        <v>18.399999999999999</v>
      </c>
      <c r="BE13" s="1">
        <v>10.6</v>
      </c>
      <c r="BF13" s="1">
        <v>7.8</v>
      </c>
      <c r="BG13" s="1" t="s">
        <v>48</v>
      </c>
      <c r="BH13" s="1">
        <f t="shared" si="4"/>
        <v>4.8760000000000003</v>
      </c>
      <c r="BI13" s="1">
        <v>24.1</v>
      </c>
      <c r="BJ13" s="1">
        <v>15.4</v>
      </c>
      <c r="BK13" s="1">
        <v>8.6</v>
      </c>
      <c r="BL13" s="2">
        <f t="shared" si="5"/>
        <v>2412</v>
      </c>
      <c r="BM13" s="2">
        <f t="shared" si="6"/>
        <v>5171</v>
      </c>
      <c r="BN13" s="9">
        <f t="shared" si="7"/>
        <v>72.412000000000006</v>
      </c>
      <c r="BO13" s="9">
        <f t="shared" si="8"/>
        <v>151.17450000000002</v>
      </c>
      <c r="BP13" s="16">
        <f t="shared" si="9"/>
        <v>0.96557800933878513</v>
      </c>
      <c r="BQ13" s="17">
        <f t="shared" si="10"/>
        <v>12.714390805707092</v>
      </c>
      <c r="BT13">
        <f t="shared" si="11"/>
        <v>6.3864999999999998</v>
      </c>
      <c r="BX13">
        <f t="shared" si="12"/>
        <v>4.8760000000000003</v>
      </c>
      <c r="CR13" s="18" t="s">
        <v>74</v>
      </c>
      <c r="CS13" s="19" t="s">
        <v>75</v>
      </c>
      <c r="CT13" s="19" t="s">
        <v>77</v>
      </c>
      <c r="CU13" s="20">
        <v>0</v>
      </c>
      <c r="CV13" s="27">
        <f>(W37-W32)/W32</f>
        <v>0</v>
      </c>
      <c r="CX13" s="18" t="s">
        <v>74</v>
      </c>
      <c r="CY13" s="19" t="s">
        <v>95</v>
      </c>
      <c r="CZ13" s="19" t="s">
        <v>77</v>
      </c>
      <c r="DA13" s="20">
        <v>0</v>
      </c>
      <c r="DB13" s="40">
        <f>(AF37-AF32)/AF32</f>
        <v>0</v>
      </c>
    </row>
    <row r="14" spans="1:120" x14ac:dyDescent="0.3">
      <c r="A14" s="1">
        <v>2002</v>
      </c>
      <c r="B14" s="2">
        <v>96723000</v>
      </c>
      <c r="C14" s="2">
        <v>9105600</v>
      </c>
      <c r="D14" s="2">
        <v>4054800</v>
      </c>
      <c r="E14" s="2">
        <v>33133700</v>
      </c>
      <c r="F14" s="11">
        <f t="shared" si="13"/>
        <v>0.39651351202571483</v>
      </c>
      <c r="G14" s="2">
        <v>5571200</v>
      </c>
      <c r="H14" s="2">
        <v>10056700</v>
      </c>
      <c r="I14" s="2">
        <v>16803800</v>
      </c>
      <c r="J14" s="2">
        <v>14050300</v>
      </c>
      <c r="K14" s="12">
        <f t="shared" si="14"/>
        <v>0.16814101045204433</v>
      </c>
      <c r="L14" s="2">
        <v>2244100</v>
      </c>
      <c r="M14" s="2">
        <v>15753100</v>
      </c>
      <c r="N14" s="2">
        <f t="shared" si="15"/>
        <v>96723000</v>
      </c>
      <c r="O14" s="2">
        <f t="shared" si="16"/>
        <v>8324700</v>
      </c>
      <c r="P14" s="2">
        <f t="shared" si="17"/>
        <v>83562600</v>
      </c>
      <c r="Q14" s="2">
        <v>27193000000</v>
      </c>
      <c r="R14" s="2">
        <v>170063000000</v>
      </c>
      <c r="S14" s="9">
        <f t="shared" si="18"/>
        <v>281.14305801102114</v>
      </c>
      <c r="T14" s="2">
        <f t="shared" si="19"/>
        <v>18676.748374626604</v>
      </c>
      <c r="U14" s="9">
        <f t="shared" si="20"/>
        <v>325.42070256310836</v>
      </c>
      <c r="V14" s="2">
        <v>1512</v>
      </c>
      <c r="W14" s="1">
        <v>56</v>
      </c>
      <c r="X14" s="2">
        <v>1204</v>
      </c>
      <c r="Y14" s="1">
        <v>56</v>
      </c>
      <c r="Z14" s="1">
        <v>197</v>
      </c>
      <c r="AA14" s="17">
        <f t="shared" si="21"/>
        <v>0.36226389661156888</v>
      </c>
      <c r="AB14" s="39">
        <f t="shared" si="0"/>
        <v>42.335999999999999</v>
      </c>
      <c r="AC14" s="2">
        <v>5040</v>
      </c>
      <c r="AD14" s="1">
        <v>186</v>
      </c>
      <c r="AE14" s="1">
        <v>211</v>
      </c>
      <c r="AF14" s="2">
        <v>3023</v>
      </c>
      <c r="AG14" s="1">
        <v>75</v>
      </c>
      <c r="AH14" s="1">
        <v>206</v>
      </c>
      <c r="AI14" s="1">
        <v>517</v>
      </c>
      <c r="AJ14" s="1">
        <v>323</v>
      </c>
      <c r="AK14" s="1">
        <v>499</v>
      </c>
      <c r="AL14" s="1">
        <f t="shared" si="1"/>
        <v>141.12</v>
      </c>
      <c r="AM14" s="16">
        <f t="shared" si="22"/>
        <v>0.24996278051717488</v>
      </c>
      <c r="AN14" s="16">
        <f t="shared" si="23"/>
        <v>9.7302070964408793E-2</v>
      </c>
      <c r="AO14" s="2">
        <v>6552</v>
      </c>
      <c r="AP14" s="1">
        <v>923</v>
      </c>
      <c r="AQ14" s="1">
        <v>915</v>
      </c>
      <c r="AR14" s="1">
        <v>7</v>
      </c>
      <c r="AS14" s="1">
        <v>2</v>
      </c>
      <c r="AT14" s="1">
        <f t="shared" si="2"/>
        <v>25.844000000000001</v>
      </c>
      <c r="AU14" s="1">
        <v>131</v>
      </c>
      <c r="AV14" s="1">
        <v>15</v>
      </c>
      <c r="AW14" s="1">
        <v>9</v>
      </c>
      <c r="AX14" s="1">
        <v>5</v>
      </c>
      <c r="AY14" s="1">
        <v>7</v>
      </c>
      <c r="AZ14" s="1">
        <v>13</v>
      </c>
      <c r="BA14" s="1">
        <v>11</v>
      </c>
      <c r="BB14" s="1">
        <v>71</v>
      </c>
      <c r="BC14" s="1">
        <f t="shared" si="3"/>
        <v>3.6680000000000001</v>
      </c>
      <c r="BD14" s="1">
        <v>18.5</v>
      </c>
      <c r="BE14" s="1">
        <v>10.7</v>
      </c>
      <c r="BF14" s="1">
        <v>7.9</v>
      </c>
      <c r="BG14" s="1" t="s">
        <v>48</v>
      </c>
      <c r="BH14" s="1">
        <f t="shared" si="4"/>
        <v>4.9024999999999999</v>
      </c>
      <c r="BI14" s="1">
        <v>24.8</v>
      </c>
      <c r="BJ14" s="1">
        <v>16</v>
      </c>
      <c r="BK14" s="1">
        <v>8.6999999999999993</v>
      </c>
      <c r="BL14" s="2">
        <f t="shared" si="5"/>
        <v>2435</v>
      </c>
      <c r="BM14" s="2">
        <f t="shared" si="6"/>
        <v>5171</v>
      </c>
      <c r="BN14" s="9">
        <f t="shared" si="7"/>
        <v>73.08250000000001</v>
      </c>
      <c r="BO14" s="9">
        <f t="shared" si="8"/>
        <v>151.36000000000001</v>
      </c>
      <c r="BP14" s="16">
        <f t="shared" si="9"/>
        <v>0.94740855535889656</v>
      </c>
      <c r="BQ14" s="17">
        <f t="shared" si="10"/>
        <v>12.271219916890377</v>
      </c>
      <c r="BT14">
        <f t="shared" si="11"/>
        <v>6.5720000000000001</v>
      </c>
      <c r="BX14">
        <f t="shared" si="12"/>
        <v>4.9024999999999999</v>
      </c>
      <c r="CR14" s="18" t="s">
        <v>74</v>
      </c>
      <c r="CS14" s="19" t="s">
        <v>78</v>
      </c>
      <c r="CT14" s="19" t="s">
        <v>77</v>
      </c>
      <c r="CU14" s="20">
        <v>0</v>
      </c>
      <c r="CV14" s="27">
        <f>((Z37+Y37)-(Y32+Z32))/(Z32+Y32)</f>
        <v>0</v>
      </c>
      <c r="CX14" s="18" t="s">
        <v>74</v>
      </c>
      <c r="CY14" s="19" t="s">
        <v>99</v>
      </c>
      <c r="CZ14" s="19" t="s">
        <v>77</v>
      </c>
      <c r="DA14" s="20">
        <v>0</v>
      </c>
      <c r="DB14" s="40">
        <f>(AD37-AD32)/AD32</f>
        <v>0</v>
      </c>
    </row>
    <row r="15" spans="1:120" x14ac:dyDescent="0.3">
      <c r="A15" s="1">
        <v>2003</v>
      </c>
      <c r="B15" s="2">
        <v>96100000</v>
      </c>
      <c r="C15" s="2">
        <v>9141700</v>
      </c>
      <c r="D15" s="2">
        <v>4113900</v>
      </c>
      <c r="E15" s="2">
        <v>32983300</v>
      </c>
      <c r="F15" s="11">
        <f t="shared" si="13"/>
        <v>0.39813554084524722</v>
      </c>
      <c r="G15" s="2">
        <v>5623500</v>
      </c>
      <c r="H15" s="2">
        <v>9890500</v>
      </c>
      <c r="I15" s="2">
        <v>16554100</v>
      </c>
      <c r="J15" s="2">
        <v>13219800</v>
      </c>
      <c r="K15" s="12">
        <f t="shared" si="14"/>
        <v>0.15957385170271013</v>
      </c>
      <c r="L15" s="2">
        <v>2247900</v>
      </c>
      <c r="M15" s="2">
        <v>15545100</v>
      </c>
      <c r="N15" s="2">
        <f t="shared" si="15"/>
        <v>96100000</v>
      </c>
      <c r="O15" s="2">
        <f t="shared" si="16"/>
        <v>8957800</v>
      </c>
      <c r="P15" s="2">
        <f t="shared" si="17"/>
        <v>82844400</v>
      </c>
      <c r="Q15" s="2">
        <v>26340000000</v>
      </c>
      <c r="R15" s="2">
        <v>170348000000</v>
      </c>
      <c r="S15" s="9">
        <f t="shared" si="18"/>
        <v>274.08949011446413</v>
      </c>
      <c r="T15" s="2">
        <f t="shared" si="19"/>
        <v>18634.170887252916</v>
      </c>
      <c r="U15" s="9">
        <f t="shared" si="20"/>
        <v>317.9454495415502</v>
      </c>
      <c r="V15" s="2">
        <v>1520</v>
      </c>
      <c r="W15" s="1">
        <v>56</v>
      </c>
      <c r="X15" s="2">
        <v>1211</v>
      </c>
      <c r="Y15" s="1">
        <v>55</v>
      </c>
      <c r="Z15" s="1">
        <v>199</v>
      </c>
      <c r="AA15" s="17">
        <f t="shared" si="21"/>
        <v>0.36293120745354612</v>
      </c>
      <c r="AB15" s="39">
        <f t="shared" si="0"/>
        <v>42.56</v>
      </c>
      <c r="AC15" s="2">
        <v>5041</v>
      </c>
      <c r="AD15" s="1">
        <v>181</v>
      </c>
      <c r="AE15" s="1">
        <v>215</v>
      </c>
      <c r="AF15" s="2">
        <v>3057</v>
      </c>
      <c r="AG15" s="1">
        <v>76</v>
      </c>
      <c r="AH15" s="1">
        <v>213</v>
      </c>
      <c r="AI15" s="1">
        <v>485</v>
      </c>
      <c r="AJ15" s="1">
        <v>305</v>
      </c>
      <c r="AK15" s="1">
        <v>508</v>
      </c>
      <c r="AL15" s="1">
        <f t="shared" si="1"/>
        <v>141.14800000000002</v>
      </c>
      <c r="AM15" s="16">
        <f t="shared" si="22"/>
        <v>0.25392675886747001</v>
      </c>
      <c r="AN15" s="16">
        <f t="shared" si="23"/>
        <v>0.10528002102284514</v>
      </c>
      <c r="AO15" s="2">
        <v>6561</v>
      </c>
      <c r="AP15" s="1">
        <v>963</v>
      </c>
      <c r="AQ15" s="1">
        <v>954</v>
      </c>
      <c r="AR15" s="1">
        <v>7</v>
      </c>
      <c r="AS15" s="1">
        <v>2</v>
      </c>
      <c r="AT15" s="1">
        <f t="shared" si="2"/>
        <v>26.963999999999999</v>
      </c>
      <c r="AU15" s="1">
        <v>131</v>
      </c>
      <c r="AV15" s="1">
        <v>16</v>
      </c>
      <c r="AW15" s="1">
        <v>9</v>
      </c>
      <c r="AX15" s="1">
        <v>5</v>
      </c>
      <c r="AY15" s="1">
        <v>7</v>
      </c>
      <c r="AZ15" s="1">
        <v>13</v>
      </c>
      <c r="BA15" s="1">
        <v>10</v>
      </c>
      <c r="BB15" s="1">
        <v>71</v>
      </c>
      <c r="BC15" s="1">
        <f t="shared" si="3"/>
        <v>3.6680000000000001</v>
      </c>
      <c r="BD15" s="1">
        <v>18.8</v>
      </c>
      <c r="BE15" s="1">
        <v>10.8</v>
      </c>
      <c r="BF15" s="1">
        <v>8</v>
      </c>
      <c r="BG15" s="1" t="s">
        <v>48</v>
      </c>
      <c r="BH15" s="1">
        <f t="shared" si="4"/>
        <v>4.9820000000000002</v>
      </c>
      <c r="BI15" s="1">
        <v>25</v>
      </c>
      <c r="BJ15" s="1">
        <v>16.3</v>
      </c>
      <c r="BK15" s="1">
        <v>8.8000000000000007</v>
      </c>
      <c r="BL15" s="2">
        <f t="shared" si="5"/>
        <v>2483</v>
      </c>
      <c r="BM15" s="2">
        <f t="shared" si="6"/>
        <v>5172</v>
      </c>
      <c r="BN15" s="9">
        <f t="shared" si="7"/>
        <v>74.506</v>
      </c>
      <c r="BO15" s="9">
        <f t="shared" si="8"/>
        <v>151.441</v>
      </c>
      <c r="BP15" s="16">
        <f t="shared" si="9"/>
        <v>0.96424623547091826</v>
      </c>
      <c r="BQ15" s="17">
        <f t="shared" si="10"/>
        <v>12.675393220197419</v>
      </c>
      <c r="BT15">
        <f t="shared" si="11"/>
        <v>6.625</v>
      </c>
      <c r="BX15">
        <f t="shared" si="12"/>
        <v>4.9820000000000002</v>
      </c>
      <c r="CR15" s="18" t="s">
        <v>74</v>
      </c>
      <c r="CS15" s="19" t="s">
        <v>79</v>
      </c>
      <c r="CT15" s="19" t="s">
        <v>77</v>
      </c>
      <c r="CU15" s="20">
        <v>0</v>
      </c>
      <c r="CV15" s="28">
        <f>(X37-X32)/X32</f>
        <v>0</v>
      </c>
      <c r="CX15" s="18" t="s">
        <v>74</v>
      </c>
      <c r="CY15" s="19" t="s">
        <v>96</v>
      </c>
      <c r="CZ15" s="19" t="s">
        <v>77</v>
      </c>
      <c r="DA15" s="20">
        <v>0</v>
      </c>
      <c r="DB15" s="40">
        <f>((AH37+AG37)-(AH32+AG32))/(AH32+AG32)</f>
        <v>0</v>
      </c>
    </row>
    <row r="16" spans="1:120" x14ac:dyDescent="0.3">
      <c r="A16" s="1">
        <v>2004</v>
      </c>
      <c r="B16" s="2">
        <v>94403000</v>
      </c>
      <c r="C16" s="2">
        <v>8987500</v>
      </c>
      <c r="D16" s="2">
        <v>4018000</v>
      </c>
      <c r="E16" s="2">
        <v>32531300</v>
      </c>
      <c r="F16" s="11">
        <f t="shared" si="13"/>
        <v>0.39965969470806845</v>
      </c>
      <c r="G16" s="2">
        <v>5508300</v>
      </c>
      <c r="H16" s="2">
        <v>9756200</v>
      </c>
      <c r="I16" s="2">
        <v>16201300</v>
      </c>
      <c r="J16" s="2">
        <v>13912900</v>
      </c>
      <c r="K16" s="12">
        <f t="shared" si="14"/>
        <v>0.17092539697165146</v>
      </c>
      <c r="L16" s="2">
        <v>2200900</v>
      </c>
      <c r="M16" s="2">
        <v>15199500</v>
      </c>
      <c r="N16" s="2">
        <f t="shared" si="15"/>
        <v>94403000</v>
      </c>
      <c r="O16" s="2">
        <f t="shared" si="16"/>
        <v>7796700</v>
      </c>
      <c r="P16" s="2">
        <f t="shared" si="17"/>
        <v>81397500</v>
      </c>
      <c r="Q16" s="2">
        <v>24649000000</v>
      </c>
      <c r="R16" s="2">
        <v>170832000000</v>
      </c>
      <c r="S16" s="9">
        <f t="shared" si="18"/>
        <v>261.10399033929008</v>
      </c>
      <c r="T16" s="2">
        <f t="shared" si="19"/>
        <v>19007.732962447844</v>
      </c>
      <c r="U16" s="9">
        <f t="shared" si="20"/>
        <v>302.82256826069596</v>
      </c>
      <c r="V16" s="2">
        <v>1476</v>
      </c>
      <c r="W16" s="1">
        <v>54</v>
      </c>
      <c r="X16" s="2">
        <v>1177</v>
      </c>
      <c r="Y16" s="1">
        <v>54</v>
      </c>
      <c r="Z16" s="1">
        <v>191</v>
      </c>
      <c r="AA16" s="17">
        <f t="shared" si="21"/>
        <v>0.35879360603578031</v>
      </c>
      <c r="AB16" s="39">
        <f t="shared" si="0"/>
        <v>41.328000000000003</v>
      </c>
      <c r="AC16" s="2">
        <v>4956</v>
      </c>
      <c r="AD16" s="1">
        <v>180</v>
      </c>
      <c r="AE16" s="1">
        <v>212</v>
      </c>
      <c r="AF16" s="2">
        <v>3037</v>
      </c>
      <c r="AG16" s="1">
        <v>77</v>
      </c>
      <c r="AH16" s="1">
        <v>211</v>
      </c>
      <c r="AI16" s="1">
        <v>465</v>
      </c>
      <c r="AJ16" s="1">
        <v>292</v>
      </c>
      <c r="AK16" s="1">
        <v>482</v>
      </c>
      <c r="AL16" s="1">
        <f t="shared" si="1"/>
        <v>138.768</v>
      </c>
      <c r="AM16" s="16">
        <f t="shared" si="22"/>
        <v>0.25577053315439219</v>
      </c>
      <c r="AN16" s="16">
        <f t="shared" si="23"/>
        <v>9.4915362376318355E-2</v>
      </c>
      <c r="AO16" s="2">
        <v>6432</v>
      </c>
      <c r="AP16" s="1">
        <v>912</v>
      </c>
      <c r="AQ16" s="1">
        <v>903</v>
      </c>
      <c r="AR16" s="1">
        <v>6</v>
      </c>
      <c r="AS16" s="1">
        <v>2</v>
      </c>
      <c r="AT16" s="1">
        <f t="shared" si="2"/>
        <v>25.536000000000001</v>
      </c>
      <c r="AU16" s="1">
        <v>129</v>
      </c>
      <c r="AV16" s="1">
        <v>15</v>
      </c>
      <c r="AW16" s="1">
        <v>9</v>
      </c>
      <c r="AX16" s="1">
        <v>5</v>
      </c>
      <c r="AY16" s="1">
        <v>7</v>
      </c>
      <c r="AZ16" s="1">
        <v>12</v>
      </c>
      <c r="BA16" s="1">
        <v>10</v>
      </c>
      <c r="BB16" s="1">
        <v>71</v>
      </c>
      <c r="BC16" s="1">
        <f t="shared" si="3"/>
        <v>3.6120000000000001</v>
      </c>
      <c r="BD16" s="1">
        <v>17.899999999999999</v>
      </c>
      <c r="BE16" s="1">
        <v>10.3</v>
      </c>
      <c r="BF16" s="1">
        <v>7.6</v>
      </c>
      <c r="BG16" s="1" t="s">
        <v>48</v>
      </c>
      <c r="BH16" s="1">
        <f t="shared" si="4"/>
        <v>4.7435</v>
      </c>
      <c r="BI16" s="1">
        <v>23.6</v>
      </c>
      <c r="BJ16" s="1">
        <v>15.3</v>
      </c>
      <c r="BK16" s="1">
        <v>8.4</v>
      </c>
      <c r="BL16" s="2">
        <f t="shared" si="5"/>
        <v>2388</v>
      </c>
      <c r="BM16" s="2">
        <f t="shared" si="6"/>
        <v>5085</v>
      </c>
      <c r="BN16" s="9">
        <f t="shared" si="7"/>
        <v>71.607500000000002</v>
      </c>
      <c r="BO16" s="9">
        <f t="shared" si="8"/>
        <v>148.63399999999999</v>
      </c>
      <c r="BP16" s="16">
        <f t="shared" si="9"/>
        <v>0.92410863684789724</v>
      </c>
      <c r="BQ16" s="17">
        <f t="shared" si="10"/>
        <v>13.293906003488983</v>
      </c>
      <c r="BT16">
        <f t="shared" si="11"/>
        <v>6.2539999999999996</v>
      </c>
      <c r="BX16">
        <f t="shared" si="12"/>
        <v>4.7435</v>
      </c>
      <c r="CR16" s="18" t="s">
        <v>74</v>
      </c>
      <c r="CS16" s="19" t="s">
        <v>75</v>
      </c>
      <c r="CT16" s="19" t="s">
        <v>80</v>
      </c>
      <c r="CU16" s="20">
        <v>0</v>
      </c>
      <c r="CV16" s="28">
        <f>(AS37-AS32)/AS32</f>
        <v>0</v>
      </c>
      <c r="CX16" s="18" t="s">
        <v>74</v>
      </c>
      <c r="CY16" s="19" t="s">
        <v>97</v>
      </c>
      <c r="CZ16" s="19" t="s">
        <v>77</v>
      </c>
      <c r="DA16" s="20">
        <v>0</v>
      </c>
      <c r="DB16" s="40">
        <f>((AI37+AJ37)-(AJ32+AI32))/(AJ32+AI32)</f>
        <v>0</v>
      </c>
    </row>
    <row r="17" spans="1:106" x14ac:dyDescent="0.3">
      <c r="A17" s="1">
        <v>2005</v>
      </c>
      <c r="B17" s="2">
        <v>95018000</v>
      </c>
      <c r="C17" s="2">
        <v>9003500</v>
      </c>
      <c r="D17" s="2">
        <v>4116600</v>
      </c>
      <c r="E17" s="2">
        <v>32674400</v>
      </c>
      <c r="F17" s="11">
        <f t="shared" si="13"/>
        <v>0.3989650528279724</v>
      </c>
      <c r="G17" s="2">
        <v>5638100</v>
      </c>
      <c r="H17" s="2">
        <v>9690400</v>
      </c>
      <c r="I17" s="2">
        <v>16465800</v>
      </c>
      <c r="J17" s="2">
        <v>13924700</v>
      </c>
      <c r="K17" s="12">
        <f t="shared" si="14"/>
        <v>0.17002511663913239</v>
      </c>
      <c r="L17" s="2">
        <v>2214300</v>
      </c>
      <c r="M17" s="2">
        <v>15214900</v>
      </c>
      <c r="N17" s="2">
        <f t="shared" si="15"/>
        <v>95018000</v>
      </c>
      <c r="O17" s="2">
        <f t="shared" si="16"/>
        <v>8179200</v>
      </c>
      <c r="P17" s="2">
        <f t="shared" si="17"/>
        <v>81897900</v>
      </c>
      <c r="Q17" s="2">
        <v>24786200000</v>
      </c>
      <c r="R17" s="2">
        <v>176931000000</v>
      </c>
      <c r="S17" s="9">
        <f t="shared" si="18"/>
        <v>260.85794270559262</v>
      </c>
      <c r="T17" s="2">
        <f t="shared" si="19"/>
        <v>19651.357805297939</v>
      </c>
      <c r="U17" s="9">
        <f t="shared" si="20"/>
        <v>302.64756483377471</v>
      </c>
      <c r="V17" s="2">
        <v>1503</v>
      </c>
      <c r="W17" s="1">
        <v>54</v>
      </c>
      <c r="X17" s="2">
        <v>1197</v>
      </c>
      <c r="Y17" s="1">
        <v>56</v>
      </c>
      <c r="Z17" s="1">
        <v>196</v>
      </c>
      <c r="AA17" s="17">
        <f t="shared" si="21"/>
        <v>0.36424191201138673</v>
      </c>
      <c r="AB17" s="39">
        <f t="shared" si="0"/>
        <v>42.083999999999996</v>
      </c>
      <c r="AC17" s="2">
        <v>5007</v>
      </c>
      <c r="AD17" s="1">
        <v>179</v>
      </c>
      <c r="AE17" s="1">
        <v>214</v>
      </c>
      <c r="AF17" s="2">
        <v>3056</v>
      </c>
      <c r="AG17" s="1">
        <v>80</v>
      </c>
      <c r="AH17" s="1">
        <v>217</v>
      </c>
      <c r="AI17" s="1">
        <v>473</v>
      </c>
      <c r="AJ17" s="1">
        <v>299</v>
      </c>
      <c r="AK17" s="1">
        <v>488</v>
      </c>
      <c r="AL17" s="1">
        <f t="shared" si="1"/>
        <v>140.196</v>
      </c>
      <c r="AM17" s="16">
        <f t="shared" si="22"/>
        <v>0.25624350377439303</v>
      </c>
      <c r="AN17" s="16">
        <f t="shared" si="23"/>
        <v>9.6015447468876386E-2</v>
      </c>
      <c r="AO17" s="2">
        <v>6510</v>
      </c>
      <c r="AP17" s="1">
        <v>970</v>
      </c>
      <c r="AQ17" s="1">
        <v>962</v>
      </c>
      <c r="AR17" s="1">
        <v>7</v>
      </c>
      <c r="AS17" s="1">
        <v>2</v>
      </c>
      <c r="AT17" s="1">
        <f t="shared" si="2"/>
        <v>27.16</v>
      </c>
      <c r="AU17" s="1">
        <v>133</v>
      </c>
      <c r="AV17" s="1">
        <v>15</v>
      </c>
      <c r="AW17" s="1">
        <v>9</v>
      </c>
      <c r="AX17" s="1">
        <v>5</v>
      </c>
      <c r="AY17" s="1">
        <v>7</v>
      </c>
      <c r="AZ17" s="1">
        <v>13</v>
      </c>
      <c r="BA17" s="1">
        <v>10</v>
      </c>
      <c r="BB17" s="1">
        <v>73</v>
      </c>
      <c r="BC17" s="1">
        <f t="shared" si="3"/>
        <v>3.7240000000000002</v>
      </c>
      <c r="BD17" s="1">
        <v>18.399999999999999</v>
      </c>
      <c r="BE17" s="1">
        <v>10.5</v>
      </c>
      <c r="BF17" s="1">
        <v>7.8</v>
      </c>
      <c r="BG17" s="1" t="s">
        <v>48</v>
      </c>
      <c r="BH17" s="1">
        <f t="shared" si="4"/>
        <v>4.8760000000000003</v>
      </c>
      <c r="BI17" s="1">
        <v>24</v>
      </c>
      <c r="BJ17" s="1">
        <v>15.5</v>
      </c>
      <c r="BK17" s="1">
        <v>8.5</v>
      </c>
      <c r="BL17" s="2">
        <f t="shared" si="5"/>
        <v>2473</v>
      </c>
      <c r="BM17" s="2">
        <f t="shared" si="6"/>
        <v>5140</v>
      </c>
      <c r="BN17" s="9">
        <f t="shared" si="7"/>
        <v>74.12</v>
      </c>
      <c r="BO17" s="9">
        <f t="shared" si="8"/>
        <v>150.28</v>
      </c>
      <c r="BP17" s="16">
        <f t="shared" si="9"/>
        <v>0.9235602263029089</v>
      </c>
      <c r="BQ17" s="17">
        <f t="shared" si="10"/>
        <v>13.366723967368939</v>
      </c>
      <c r="BT17">
        <f t="shared" si="11"/>
        <v>6.36</v>
      </c>
      <c r="BX17">
        <f t="shared" si="12"/>
        <v>4.8760000000000003</v>
      </c>
      <c r="CR17" s="18" t="s">
        <v>74</v>
      </c>
      <c r="CS17" s="19" t="s">
        <v>78</v>
      </c>
      <c r="CT17" s="19" t="s">
        <v>80</v>
      </c>
      <c r="CU17" s="20">
        <v>0</v>
      </c>
      <c r="CV17" s="28">
        <f>(AR37-AR32)/AR32</f>
        <v>0</v>
      </c>
      <c r="CX17" s="18" t="s">
        <v>74</v>
      </c>
      <c r="CY17" s="19" t="s">
        <v>98</v>
      </c>
      <c r="CZ17" s="19" t="s">
        <v>77</v>
      </c>
      <c r="DA17" s="20">
        <v>0</v>
      </c>
      <c r="DB17" s="40">
        <f>(AK37-AK32)/AK32</f>
        <v>0</v>
      </c>
    </row>
    <row r="18" spans="1:106" x14ac:dyDescent="0.3">
      <c r="A18" s="1">
        <v>2006</v>
      </c>
      <c r="B18" s="2">
        <v>96341500</v>
      </c>
      <c r="C18" s="2">
        <v>9103900</v>
      </c>
      <c r="D18" s="2">
        <v>4298000</v>
      </c>
      <c r="E18" s="2">
        <v>32702500</v>
      </c>
      <c r="F18" s="11">
        <f t="shared" si="13"/>
        <v>0.39429295535546349</v>
      </c>
      <c r="G18" s="2">
        <v>5863500</v>
      </c>
      <c r="H18" s="2">
        <v>9788400</v>
      </c>
      <c r="I18" s="2">
        <v>16988100</v>
      </c>
      <c r="J18" s="2">
        <v>14391900</v>
      </c>
      <c r="K18" s="12">
        <f t="shared" si="14"/>
        <v>0.17352265986332222</v>
      </c>
      <c r="L18" s="2">
        <v>2257800</v>
      </c>
      <c r="M18" s="2">
        <v>15339300</v>
      </c>
      <c r="N18" s="2">
        <f t="shared" si="15"/>
        <v>96341500</v>
      </c>
      <c r="O18" s="2">
        <f t="shared" si="16"/>
        <v>8459700</v>
      </c>
      <c r="P18" s="2">
        <f t="shared" si="17"/>
        <v>82939600</v>
      </c>
      <c r="Q18" s="2">
        <v>26256200000</v>
      </c>
      <c r="R18" s="2">
        <v>181782000000</v>
      </c>
      <c r="S18" s="9">
        <f t="shared" si="18"/>
        <v>272.53260536736502</v>
      </c>
      <c r="T18" s="2">
        <f t="shared" si="19"/>
        <v>19967.486461846023</v>
      </c>
      <c r="U18" s="9">
        <f t="shared" si="20"/>
        <v>316.57013055283602</v>
      </c>
      <c r="V18" s="2">
        <v>1534</v>
      </c>
      <c r="W18" s="1">
        <v>55</v>
      </c>
      <c r="X18" s="2">
        <v>1219</v>
      </c>
      <c r="Y18" s="1">
        <v>57</v>
      </c>
      <c r="Z18" s="1">
        <v>203</v>
      </c>
      <c r="AA18" s="17">
        <f t="shared" si="21"/>
        <v>0.36684564059329083</v>
      </c>
      <c r="AB18" s="39">
        <f t="shared" si="0"/>
        <v>42.951999999999998</v>
      </c>
      <c r="AC18" s="2">
        <v>5081</v>
      </c>
      <c r="AD18" s="1">
        <v>177</v>
      </c>
      <c r="AE18" s="1">
        <v>220</v>
      </c>
      <c r="AF18" s="2">
        <v>3079</v>
      </c>
      <c r="AG18" s="1">
        <v>82</v>
      </c>
      <c r="AH18" s="1">
        <v>228</v>
      </c>
      <c r="AI18" s="1">
        <v>475</v>
      </c>
      <c r="AJ18" s="1">
        <v>299</v>
      </c>
      <c r="AK18" s="1">
        <v>521</v>
      </c>
      <c r="AL18" s="1">
        <f t="shared" si="1"/>
        <v>142.268</v>
      </c>
      <c r="AM18" s="16">
        <f t="shared" si="22"/>
        <v>0.25795020069891184</v>
      </c>
      <c r="AN18" s="16">
        <f t="shared" si="23"/>
        <v>9.9180598828088898E-2</v>
      </c>
      <c r="AO18" s="2">
        <v>6615</v>
      </c>
      <c r="AP18" s="1">
        <v>990</v>
      </c>
      <c r="AQ18" s="1">
        <v>981</v>
      </c>
      <c r="AR18" s="1">
        <v>7</v>
      </c>
      <c r="AS18" s="1">
        <v>2</v>
      </c>
      <c r="AT18" s="1">
        <f t="shared" si="2"/>
        <v>27.72</v>
      </c>
      <c r="AU18" s="1">
        <v>137</v>
      </c>
      <c r="AV18" s="1">
        <v>16</v>
      </c>
      <c r="AW18" s="1">
        <v>9</v>
      </c>
      <c r="AX18" s="1">
        <v>5</v>
      </c>
      <c r="AY18" s="1">
        <v>7</v>
      </c>
      <c r="AZ18" s="1">
        <v>13</v>
      </c>
      <c r="BA18" s="1">
        <v>11</v>
      </c>
      <c r="BB18" s="1">
        <v>75</v>
      </c>
      <c r="BC18" s="1">
        <f t="shared" si="3"/>
        <v>3.8360000000000003</v>
      </c>
      <c r="BD18" s="1">
        <v>19</v>
      </c>
      <c r="BE18" s="1">
        <v>10.8</v>
      </c>
      <c r="BF18" s="1">
        <v>8.1999999999999993</v>
      </c>
      <c r="BG18" s="1" t="s">
        <v>48</v>
      </c>
      <c r="BH18" s="1">
        <f t="shared" si="4"/>
        <v>5.0350000000000001</v>
      </c>
      <c r="BI18" s="1">
        <v>25.7</v>
      </c>
      <c r="BJ18" s="1">
        <v>16.7</v>
      </c>
      <c r="BK18" s="1">
        <v>9</v>
      </c>
      <c r="BL18" s="2">
        <f t="shared" si="5"/>
        <v>2524</v>
      </c>
      <c r="BM18" s="2">
        <f t="shared" si="6"/>
        <v>5218</v>
      </c>
      <c r="BN18" s="9">
        <f t="shared" si="7"/>
        <v>75.706999999999994</v>
      </c>
      <c r="BO18" s="9">
        <f t="shared" si="8"/>
        <v>152.9145</v>
      </c>
      <c r="BP18" s="16">
        <f t="shared" si="9"/>
        <v>0.91816112893465784</v>
      </c>
      <c r="BQ18" s="17">
        <f t="shared" si="10"/>
        <v>12.83957179599485</v>
      </c>
      <c r="BT18">
        <f t="shared" si="11"/>
        <v>6.8105000000000002</v>
      </c>
      <c r="BX18">
        <f t="shared" si="12"/>
        <v>5.0350000000000001</v>
      </c>
      <c r="CR18" s="18" t="s">
        <v>74</v>
      </c>
      <c r="CS18" s="19" t="s">
        <v>79</v>
      </c>
      <c r="CT18" s="19" t="s">
        <v>80</v>
      </c>
      <c r="CU18" s="20">
        <v>-4.0000000000000001E-3</v>
      </c>
      <c r="CV18" s="28">
        <f>(AQ37-AQ32)/AQ32</f>
        <v>-1.9840638721024022E-2</v>
      </c>
      <c r="CX18" s="18" t="s">
        <v>74</v>
      </c>
      <c r="CY18" s="19" t="s">
        <v>18</v>
      </c>
      <c r="CZ18" s="19" t="s">
        <v>77</v>
      </c>
      <c r="DA18" s="20">
        <v>0</v>
      </c>
      <c r="DB18" s="40">
        <f>(AE37-AE32)/AE32</f>
        <v>0</v>
      </c>
    </row>
    <row r="19" spans="1:106" x14ac:dyDescent="0.3">
      <c r="A19" s="1">
        <v>2007</v>
      </c>
      <c r="B19" s="2">
        <v>96573000</v>
      </c>
      <c r="C19" s="2">
        <v>9144500</v>
      </c>
      <c r="D19" s="2">
        <v>4324900</v>
      </c>
      <c r="E19" s="2">
        <v>32644200</v>
      </c>
      <c r="F19" s="11">
        <f t="shared" si="13"/>
        <v>0.39281330772674106</v>
      </c>
      <c r="G19" s="2">
        <v>5835400</v>
      </c>
      <c r="H19" s="2">
        <v>9913800</v>
      </c>
      <c r="I19" s="2">
        <v>17184500</v>
      </c>
      <c r="J19" s="2">
        <v>14646700</v>
      </c>
      <c r="K19" s="12">
        <f t="shared" si="14"/>
        <v>0.17624627573294058</v>
      </c>
      <c r="L19" s="2">
        <v>2214400</v>
      </c>
      <c r="M19" s="2">
        <v>15311300</v>
      </c>
      <c r="N19" s="2">
        <f t="shared" si="15"/>
        <v>96573000</v>
      </c>
      <c r="O19" s="2">
        <f t="shared" si="16"/>
        <v>8373200</v>
      </c>
      <c r="P19" s="2">
        <f t="shared" si="17"/>
        <v>83103600</v>
      </c>
      <c r="Q19" s="2">
        <v>26523500000</v>
      </c>
      <c r="R19" s="2">
        <v>185654000000</v>
      </c>
      <c r="S19" s="9">
        <f t="shared" si="18"/>
        <v>274.64715810837396</v>
      </c>
      <c r="T19" s="2">
        <f t="shared" si="19"/>
        <v>20302.258187981846</v>
      </c>
      <c r="U19" s="9">
        <f t="shared" si="20"/>
        <v>319.16186543061912</v>
      </c>
      <c r="V19" s="2">
        <v>1601</v>
      </c>
      <c r="W19" s="1">
        <v>58</v>
      </c>
      <c r="X19" s="2">
        <v>1271</v>
      </c>
      <c r="Y19" s="1">
        <v>60</v>
      </c>
      <c r="Z19" s="1">
        <v>213</v>
      </c>
      <c r="AA19" s="17">
        <f t="shared" si="21"/>
        <v>0.38079630169193701</v>
      </c>
      <c r="AB19" s="39">
        <f t="shared" si="0"/>
        <v>44.828000000000003</v>
      </c>
      <c r="AC19" s="2">
        <v>5123</v>
      </c>
      <c r="AD19" s="1">
        <v>175</v>
      </c>
      <c r="AE19" s="1">
        <v>217</v>
      </c>
      <c r="AF19" s="2">
        <v>3089</v>
      </c>
      <c r="AG19" s="1">
        <v>82</v>
      </c>
      <c r="AH19" s="1">
        <v>229</v>
      </c>
      <c r="AI19" s="1">
        <v>480</v>
      </c>
      <c r="AJ19" s="1">
        <v>296</v>
      </c>
      <c r="AK19" s="1">
        <v>556</v>
      </c>
      <c r="AL19" s="1">
        <f t="shared" si="1"/>
        <v>143.44400000000002</v>
      </c>
      <c r="AM19" s="16">
        <f t="shared" si="22"/>
        <v>0.25925014852960515</v>
      </c>
      <c r="AN19" s="16">
        <f t="shared" si="23"/>
        <v>0.10400210772616882</v>
      </c>
      <c r="AO19" s="2">
        <v>6725</v>
      </c>
      <c r="AP19" s="2">
        <v>1105</v>
      </c>
      <c r="AQ19" s="2">
        <v>1095</v>
      </c>
      <c r="AR19" s="1">
        <v>8</v>
      </c>
      <c r="AS19" s="1">
        <v>2</v>
      </c>
      <c r="AT19" s="1">
        <f t="shared" si="2"/>
        <v>30.939999999999998</v>
      </c>
      <c r="AU19" s="1">
        <v>134</v>
      </c>
      <c r="AV19" s="1">
        <v>16</v>
      </c>
      <c r="AW19" s="1">
        <v>9</v>
      </c>
      <c r="AX19" s="1">
        <v>5</v>
      </c>
      <c r="AY19" s="1">
        <v>7</v>
      </c>
      <c r="AZ19" s="1">
        <v>13</v>
      </c>
      <c r="BA19" s="1">
        <v>10</v>
      </c>
      <c r="BB19" s="1">
        <v>73</v>
      </c>
      <c r="BC19" s="1">
        <f t="shared" si="3"/>
        <v>3.7520000000000002</v>
      </c>
      <c r="BD19" s="1">
        <v>19</v>
      </c>
      <c r="BE19" s="1">
        <v>10.8</v>
      </c>
      <c r="BF19" s="1">
        <v>8.1999999999999993</v>
      </c>
      <c r="BG19" s="1" t="s">
        <v>48</v>
      </c>
      <c r="BH19" s="1">
        <f t="shared" si="4"/>
        <v>5.0350000000000001</v>
      </c>
      <c r="BI19" s="1">
        <v>25.6</v>
      </c>
      <c r="BJ19" s="1">
        <v>16.7</v>
      </c>
      <c r="BK19" s="1">
        <v>8.9</v>
      </c>
      <c r="BL19" s="2">
        <f t="shared" si="5"/>
        <v>2706</v>
      </c>
      <c r="BM19" s="2">
        <f t="shared" si="6"/>
        <v>5257</v>
      </c>
      <c r="BN19" s="9">
        <f t="shared" si="7"/>
        <v>80.802999999999997</v>
      </c>
      <c r="BO19" s="9">
        <f t="shared" si="8"/>
        <v>153.97999999999999</v>
      </c>
      <c r="BP19" s="16">
        <f t="shared" si="9"/>
        <v>0.95952637626983528</v>
      </c>
      <c r="BQ19" s="17">
        <f t="shared" si="10"/>
        <v>12.79874027183441</v>
      </c>
      <c r="BT19">
        <f t="shared" si="11"/>
        <v>6.7839999999999998</v>
      </c>
      <c r="BX19">
        <f t="shared" si="12"/>
        <v>5.0350000000000001</v>
      </c>
      <c r="CR19" s="18" t="s">
        <v>74</v>
      </c>
      <c r="CS19" s="19" t="s">
        <v>75</v>
      </c>
      <c r="CT19" s="19" t="s">
        <v>81</v>
      </c>
      <c r="CU19" s="20">
        <v>0</v>
      </c>
      <c r="CV19" s="28" t="s">
        <v>92</v>
      </c>
      <c r="CX19" s="18" t="s">
        <v>74</v>
      </c>
      <c r="CY19" s="19" t="s">
        <v>95</v>
      </c>
      <c r="CZ19" s="19" t="s">
        <v>80</v>
      </c>
      <c r="DA19" s="20">
        <v>0</v>
      </c>
      <c r="DB19" s="40">
        <f>(BB37-BB32)/BB32</f>
        <v>0</v>
      </c>
    </row>
    <row r="20" spans="1:106" x14ac:dyDescent="0.3">
      <c r="A20" s="1">
        <v>2008</v>
      </c>
      <c r="B20" s="2">
        <v>96034500</v>
      </c>
      <c r="C20" s="2">
        <v>9257000</v>
      </c>
      <c r="D20" s="2">
        <v>4415000</v>
      </c>
      <c r="E20" s="2">
        <v>32434500</v>
      </c>
      <c r="F20" s="11">
        <f t="shared" si="13"/>
        <v>0.39380179086356049</v>
      </c>
      <c r="G20" s="2">
        <v>5646600</v>
      </c>
      <c r="H20" s="2">
        <v>9792600</v>
      </c>
      <c r="I20" s="2">
        <v>17163200</v>
      </c>
      <c r="J20" s="2">
        <v>14826700</v>
      </c>
      <c r="K20" s="12">
        <f t="shared" si="14"/>
        <v>0.18001760509940812</v>
      </c>
      <c r="L20" s="2">
        <v>2207200</v>
      </c>
      <c r="M20" s="2">
        <v>15118400</v>
      </c>
      <c r="N20" s="2">
        <f t="shared" si="15"/>
        <v>96034500</v>
      </c>
      <c r="O20" s="2">
        <f t="shared" si="16"/>
        <v>7983100</v>
      </c>
      <c r="P20" s="2">
        <f t="shared" si="17"/>
        <v>82362500</v>
      </c>
      <c r="Q20" s="2">
        <v>26656600000</v>
      </c>
      <c r="R20" s="2">
        <v>189978000000</v>
      </c>
      <c r="S20" s="9">
        <f t="shared" si="18"/>
        <v>277.5731638109221</v>
      </c>
      <c r="T20" s="2">
        <f t="shared" si="19"/>
        <v>20522.631522091389</v>
      </c>
      <c r="U20" s="9">
        <f t="shared" si="20"/>
        <v>323.64971922901805</v>
      </c>
      <c r="V20" s="2">
        <v>1623</v>
      </c>
      <c r="W20" s="1">
        <v>58</v>
      </c>
      <c r="X20" s="2">
        <v>1289</v>
      </c>
      <c r="Y20" s="1">
        <v>60</v>
      </c>
      <c r="Z20" s="1">
        <v>216</v>
      </c>
      <c r="AA20" s="17">
        <f t="shared" si="21"/>
        <v>0.38149582470725601</v>
      </c>
      <c r="AB20" s="39">
        <f t="shared" si="0"/>
        <v>45.444000000000003</v>
      </c>
      <c r="AC20" s="2">
        <v>5078</v>
      </c>
      <c r="AD20" s="1">
        <v>171</v>
      </c>
      <c r="AE20" s="1">
        <v>216</v>
      </c>
      <c r="AF20" s="2">
        <v>3070</v>
      </c>
      <c r="AG20" s="1">
        <v>79</v>
      </c>
      <c r="AH20" s="1">
        <v>222</v>
      </c>
      <c r="AI20" s="1">
        <v>476</v>
      </c>
      <c r="AJ20" s="1">
        <v>290</v>
      </c>
      <c r="AK20" s="1">
        <v>554</v>
      </c>
      <c r="AL20" s="1">
        <f t="shared" si="1"/>
        <v>142.184</v>
      </c>
      <c r="AM20" s="16">
        <f t="shared" si="22"/>
        <v>0.25932136780618131</v>
      </c>
      <c r="AN20" s="16">
        <f t="shared" si="23"/>
        <v>0.10236992851936588</v>
      </c>
      <c r="AO20" s="2">
        <v>6700</v>
      </c>
      <c r="AP20" s="2">
        <v>1106</v>
      </c>
      <c r="AQ20" s="2">
        <v>1096</v>
      </c>
      <c r="AR20" s="1">
        <v>8</v>
      </c>
      <c r="AS20" s="1">
        <v>2</v>
      </c>
      <c r="AT20" s="1">
        <f t="shared" si="2"/>
        <v>30.968000000000004</v>
      </c>
      <c r="AU20" s="1">
        <v>130</v>
      </c>
      <c r="AV20" s="1">
        <v>16</v>
      </c>
      <c r="AW20" s="1">
        <v>9</v>
      </c>
      <c r="AX20" s="1">
        <v>5</v>
      </c>
      <c r="AY20" s="1">
        <v>7</v>
      </c>
      <c r="AZ20" s="1">
        <v>13</v>
      </c>
      <c r="BA20" s="1">
        <v>10</v>
      </c>
      <c r="BB20" s="1">
        <v>70</v>
      </c>
      <c r="BC20" s="1">
        <f t="shared" si="3"/>
        <v>3.64</v>
      </c>
      <c r="BD20" s="1">
        <v>18.7</v>
      </c>
      <c r="BE20" s="1">
        <v>10.7</v>
      </c>
      <c r="BF20" s="1">
        <v>8</v>
      </c>
      <c r="BG20" s="1" t="s">
        <v>48</v>
      </c>
      <c r="BH20" s="1">
        <f t="shared" si="4"/>
        <v>4.9554999999999998</v>
      </c>
      <c r="BI20" s="1">
        <v>25.1</v>
      </c>
      <c r="BJ20" s="1">
        <v>16.5</v>
      </c>
      <c r="BK20" s="1">
        <v>8.6999999999999993</v>
      </c>
      <c r="BL20" s="2">
        <f t="shared" si="5"/>
        <v>2729</v>
      </c>
      <c r="BM20" s="2">
        <f t="shared" si="6"/>
        <v>5208</v>
      </c>
      <c r="BN20" s="9">
        <f t="shared" si="7"/>
        <v>81.367500000000007</v>
      </c>
      <c r="BO20" s="9">
        <f t="shared" si="8"/>
        <v>152.47550000000001</v>
      </c>
      <c r="BP20" s="16">
        <f t="shared" si="9"/>
        <v>0.94423784780343001</v>
      </c>
      <c r="BQ20" s="17">
        <f t="shared" si="10"/>
        <v>12.610405558473323</v>
      </c>
      <c r="BT20">
        <f t="shared" si="11"/>
        <v>6.6515000000000004</v>
      </c>
      <c r="BX20">
        <f t="shared" si="12"/>
        <v>4.9554999999999998</v>
      </c>
      <c r="CR20" s="18" t="s">
        <v>74</v>
      </c>
      <c r="CS20" s="19" t="s">
        <v>78</v>
      </c>
      <c r="CT20" s="19" t="s">
        <v>81</v>
      </c>
      <c r="CU20" s="20">
        <v>0</v>
      </c>
      <c r="CV20" s="28">
        <f>(BF37-BF32)/BF32</f>
        <v>0</v>
      </c>
      <c r="CX20" s="18" t="s">
        <v>74</v>
      </c>
      <c r="CY20" s="19" t="s">
        <v>99</v>
      </c>
      <c r="CZ20" s="19" t="s">
        <v>80</v>
      </c>
      <c r="DA20" s="20">
        <v>0</v>
      </c>
      <c r="DB20" s="40">
        <f>(AY37-AY32)/AY32</f>
        <v>0</v>
      </c>
    </row>
    <row r="21" spans="1:106" x14ac:dyDescent="0.3">
      <c r="A21" s="1">
        <v>2009</v>
      </c>
      <c r="B21" s="2">
        <v>94721000</v>
      </c>
      <c r="C21" s="2">
        <v>9332800</v>
      </c>
      <c r="D21" s="2">
        <v>4409500</v>
      </c>
      <c r="E21" s="2">
        <v>31793800</v>
      </c>
      <c r="F21" s="11">
        <f t="shared" si="13"/>
        <v>0.39261929371550791</v>
      </c>
      <c r="G21" s="2">
        <v>5550200</v>
      </c>
      <c r="H21" s="2">
        <v>9643800</v>
      </c>
      <c r="I21" s="2">
        <v>16809100</v>
      </c>
      <c r="J21" s="2">
        <v>13899700</v>
      </c>
      <c r="K21" s="12">
        <f t="shared" si="14"/>
        <v>0.17164637120625548</v>
      </c>
      <c r="L21" s="2">
        <v>2188100</v>
      </c>
      <c r="M21" s="2">
        <v>14993700</v>
      </c>
      <c r="N21" s="2">
        <f t="shared" si="15"/>
        <v>94721000</v>
      </c>
      <c r="O21" s="2">
        <f t="shared" si="16"/>
        <v>8459600</v>
      </c>
      <c r="P21" s="2">
        <f t="shared" si="17"/>
        <v>80978700</v>
      </c>
      <c r="Q21" s="2">
        <v>26056300000</v>
      </c>
      <c r="R21" s="2">
        <v>189202000000</v>
      </c>
      <c r="S21" s="9">
        <f t="shared" si="18"/>
        <v>275.0847225008182</v>
      </c>
      <c r="T21" s="2">
        <f t="shared" si="19"/>
        <v>20272.801302931595</v>
      </c>
      <c r="U21" s="9">
        <f t="shared" si="20"/>
        <v>321.76732893958535</v>
      </c>
      <c r="V21" s="2">
        <v>1639</v>
      </c>
      <c r="W21" s="1">
        <v>58</v>
      </c>
      <c r="X21" s="2">
        <v>1304</v>
      </c>
      <c r="Y21" s="1">
        <v>61</v>
      </c>
      <c r="Z21" s="1">
        <v>216</v>
      </c>
      <c r="AA21" s="17">
        <f t="shared" si="21"/>
        <v>0.3828007392986057</v>
      </c>
      <c r="AB21" s="39">
        <f t="shared" si="0"/>
        <v>45.892000000000003</v>
      </c>
      <c r="AC21" s="2">
        <v>5034</v>
      </c>
      <c r="AD21" s="1">
        <v>169</v>
      </c>
      <c r="AE21" s="1">
        <v>214</v>
      </c>
      <c r="AF21" s="2">
        <v>3010</v>
      </c>
      <c r="AG21" s="1">
        <v>78</v>
      </c>
      <c r="AH21" s="1">
        <v>217</v>
      </c>
      <c r="AI21" s="1">
        <v>494</v>
      </c>
      <c r="AJ21" s="1">
        <v>301</v>
      </c>
      <c r="AK21" s="1">
        <v>551</v>
      </c>
      <c r="AL21" s="1">
        <f t="shared" si="1"/>
        <v>140.952</v>
      </c>
      <c r="AM21" s="16">
        <f t="shared" si="22"/>
        <v>0.25937683895809099</v>
      </c>
      <c r="AN21" s="16">
        <f t="shared" si="23"/>
        <v>0.10860587214802409</v>
      </c>
      <c r="AO21" s="2">
        <v>6673</v>
      </c>
      <c r="AP21" s="2">
        <v>1112</v>
      </c>
      <c r="AQ21" s="2">
        <v>1102</v>
      </c>
      <c r="AR21" s="1">
        <v>8</v>
      </c>
      <c r="AS21" s="1">
        <v>2</v>
      </c>
      <c r="AT21" s="1">
        <f t="shared" si="2"/>
        <v>31.136000000000003</v>
      </c>
      <c r="AU21" s="1">
        <v>130</v>
      </c>
      <c r="AV21" s="1">
        <v>16</v>
      </c>
      <c r="AW21" s="1">
        <v>9</v>
      </c>
      <c r="AX21" s="1">
        <v>5</v>
      </c>
      <c r="AY21" s="1">
        <v>7</v>
      </c>
      <c r="AZ21" s="1">
        <v>13</v>
      </c>
      <c r="BA21" s="1">
        <v>11</v>
      </c>
      <c r="BB21" s="1">
        <v>70</v>
      </c>
      <c r="BC21" s="1">
        <f t="shared" si="3"/>
        <v>3.64</v>
      </c>
      <c r="BD21" s="1">
        <v>19</v>
      </c>
      <c r="BE21" s="1">
        <v>10.8</v>
      </c>
      <c r="BF21" s="1">
        <v>8.1</v>
      </c>
      <c r="BG21" s="1" t="s">
        <v>48</v>
      </c>
      <c r="BH21" s="1">
        <f t="shared" si="4"/>
        <v>5.0350000000000001</v>
      </c>
      <c r="BI21" s="1">
        <v>25.1</v>
      </c>
      <c r="BJ21" s="1">
        <v>16.5</v>
      </c>
      <c r="BK21" s="1">
        <v>8.6</v>
      </c>
      <c r="BL21" s="2">
        <f t="shared" si="5"/>
        <v>2751</v>
      </c>
      <c r="BM21" s="2">
        <f t="shared" si="6"/>
        <v>5164</v>
      </c>
      <c r="BN21" s="9">
        <f t="shared" si="7"/>
        <v>82.063000000000002</v>
      </c>
      <c r="BO21" s="9">
        <f t="shared" si="8"/>
        <v>151.24350000000001</v>
      </c>
      <c r="BP21" s="16">
        <f t="shared" si="9"/>
        <v>0.9562146862083909</v>
      </c>
      <c r="BQ21" s="17">
        <f t="shared" si="10"/>
        <v>12.79669196969639</v>
      </c>
      <c r="BT21">
        <f t="shared" si="11"/>
        <v>6.6515000000000004</v>
      </c>
      <c r="BX21">
        <f t="shared" si="12"/>
        <v>5.0350000000000001</v>
      </c>
      <c r="CR21" s="18" t="s">
        <v>74</v>
      </c>
      <c r="CS21" s="19" t="s">
        <v>79</v>
      </c>
      <c r="CT21" s="19" t="s">
        <v>81</v>
      </c>
      <c r="CU21" s="20">
        <v>0</v>
      </c>
      <c r="CV21" s="28">
        <f>(BE37-BE32)/BE32</f>
        <v>0</v>
      </c>
      <c r="CX21" s="18" t="s">
        <v>74</v>
      </c>
      <c r="CY21" s="19" t="s">
        <v>100</v>
      </c>
      <c r="CZ21" s="19" t="s">
        <v>80</v>
      </c>
      <c r="DA21" s="20">
        <v>0</v>
      </c>
      <c r="DB21" s="40">
        <f>((BA37+AZ37)-(BA32+AZ32))/(AZ32+BA32)</f>
        <v>0</v>
      </c>
    </row>
    <row r="22" spans="1:106" x14ac:dyDescent="0.3">
      <c r="A22" s="1">
        <v>2010</v>
      </c>
      <c r="B22" s="2">
        <v>94081200</v>
      </c>
      <c r="C22" s="2">
        <v>9086500</v>
      </c>
      <c r="D22" s="2">
        <v>4551200</v>
      </c>
      <c r="E22" s="2">
        <v>31439900</v>
      </c>
      <c r="F22" s="11">
        <f t="shared" si="13"/>
        <v>0.39083207468595971</v>
      </c>
      <c r="G22" s="2">
        <v>5443000</v>
      </c>
      <c r="H22" s="2">
        <v>9783600</v>
      </c>
      <c r="I22" s="2">
        <v>16568400</v>
      </c>
      <c r="J22" s="2">
        <v>13727600</v>
      </c>
      <c r="K22" s="12">
        <f t="shared" si="14"/>
        <v>0.17064896480138234</v>
      </c>
      <c r="L22" s="2">
        <v>2190100</v>
      </c>
      <c r="M22" s="2">
        <v>15018500</v>
      </c>
      <c r="N22" s="2">
        <f t="shared" si="15"/>
        <v>94081200</v>
      </c>
      <c r="O22" s="2">
        <f t="shared" si="16"/>
        <v>8283800</v>
      </c>
      <c r="P22" s="2">
        <f t="shared" si="17"/>
        <v>80443500</v>
      </c>
      <c r="Q22" s="2">
        <v>26389200000</v>
      </c>
      <c r="R22" s="2">
        <v>192877000000</v>
      </c>
      <c r="S22" s="9">
        <f t="shared" si="18"/>
        <v>280.49387125164219</v>
      </c>
      <c r="T22" s="2">
        <f t="shared" si="19"/>
        <v>21226.764981015793</v>
      </c>
      <c r="U22" s="9">
        <f t="shared" si="20"/>
        <v>328.04639280986032</v>
      </c>
      <c r="V22" s="2">
        <v>1627</v>
      </c>
      <c r="W22" s="1">
        <v>57</v>
      </c>
      <c r="X22" s="2">
        <v>1287</v>
      </c>
      <c r="Y22" s="1">
        <v>62</v>
      </c>
      <c r="Z22" s="1">
        <v>222</v>
      </c>
      <c r="AA22" s="17">
        <f t="shared" si="21"/>
        <v>0.38805121853962188</v>
      </c>
      <c r="AB22" s="39">
        <f t="shared" si="0"/>
        <v>45.555999999999997</v>
      </c>
      <c r="AC22" s="2">
        <v>4984</v>
      </c>
      <c r="AD22" s="1">
        <v>169</v>
      </c>
      <c r="AE22" s="1">
        <v>215</v>
      </c>
      <c r="AF22" s="2">
        <v>2976</v>
      </c>
      <c r="AG22" s="1">
        <v>75</v>
      </c>
      <c r="AH22" s="1">
        <v>213</v>
      </c>
      <c r="AI22" s="1">
        <v>476</v>
      </c>
      <c r="AJ22" s="1">
        <v>302</v>
      </c>
      <c r="AK22" s="1">
        <v>560</v>
      </c>
      <c r="AL22" s="1">
        <f t="shared" si="1"/>
        <v>139.55199999999999</v>
      </c>
      <c r="AM22" s="16">
        <f t="shared" si="22"/>
        <v>0.25933367019406062</v>
      </c>
      <c r="AN22" s="16">
        <f t="shared" si="23"/>
        <v>0.11176364224937102</v>
      </c>
      <c r="AO22" s="2">
        <v>6612</v>
      </c>
      <c r="AP22" s="2">
        <v>1124</v>
      </c>
      <c r="AQ22" s="2">
        <v>1115</v>
      </c>
      <c r="AR22" s="1">
        <v>8</v>
      </c>
      <c r="AS22" s="1">
        <v>2</v>
      </c>
      <c r="AT22" s="1">
        <f t="shared" si="2"/>
        <v>31.472000000000001</v>
      </c>
      <c r="AU22" s="1">
        <v>132</v>
      </c>
      <c r="AV22" s="1">
        <v>16</v>
      </c>
      <c r="AW22" s="1">
        <v>9</v>
      </c>
      <c r="AX22" s="1">
        <v>5</v>
      </c>
      <c r="AY22" s="1">
        <v>7</v>
      </c>
      <c r="AZ22" s="1">
        <v>13</v>
      </c>
      <c r="BA22" s="1">
        <v>10</v>
      </c>
      <c r="BB22" s="1">
        <v>71</v>
      </c>
      <c r="BC22" s="1">
        <f t="shared" si="3"/>
        <v>3.6960000000000002</v>
      </c>
      <c r="BD22" s="1">
        <v>19</v>
      </c>
      <c r="BE22" s="1">
        <v>10.7</v>
      </c>
      <c r="BF22" s="1">
        <v>8.3000000000000007</v>
      </c>
      <c r="BG22" s="1" t="s">
        <v>48</v>
      </c>
      <c r="BH22" s="1">
        <f t="shared" si="4"/>
        <v>5.0350000000000001</v>
      </c>
      <c r="BI22" s="1">
        <v>25.3</v>
      </c>
      <c r="BJ22" s="1">
        <v>16.600000000000001</v>
      </c>
      <c r="BK22" s="1">
        <v>8.6999999999999993</v>
      </c>
      <c r="BL22" s="2">
        <f t="shared" si="5"/>
        <v>2751</v>
      </c>
      <c r="BM22" s="2">
        <f t="shared" si="6"/>
        <v>5116</v>
      </c>
      <c r="BN22" s="9">
        <f t="shared" si="7"/>
        <v>82.063000000000002</v>
      </c>
      <c r="BO22" s="9">
        <f t="shared" si="8"/>
        <v>149.95249999999999</v>
      </c>
      <c r="BP22" s="16">
        <f t="shared" si="9"/>
        <v>0.93799536004811357</v>
      </c>
      <c r="BQ22" s="17">
        <f t="shared" si="10"/>
        <v>12.527408202976973</v>
      </c>
      <c r="BR22" s="5">
        <f t="shared" ref="BR22:BR62" si="25">(4.53*(AC22*$CS$7)/10^3)-(4.25*(AC2*$CS$7)/10^3)</f>
        <v>65.373559999999998</v>
      </c>
      <c r="BS22" s="5">
        <f t="shared" ref="BS22:BS62" si="26">(4.35*(AU22*$CS$7)/10^3)-(4.25*(AU2*$CS$7)/10^3)</f>
        <v>1.083599999999997</v>
      </c>
      <c r="BT22">
        <f t="shared" si="11"/>
        <v>6.7045000000000003</v>
      </c>
      <c r="BU22" s="5">
        <f>BR22+BS22+BT22</f>
        <v>73.161659999999983</v>
      </c>
      <c r="BV22" s="5">
        <f t="shared" ref="BV22:BV62" si="27">(4.53*(V22*$CS$7)/10^3)-(4.25*(V2*$CS$7)/10^3)</f>
        <v>19.06268</v>
      </c>
      <c r="BW22" s="5">
        <f t="shared" ref="BW22:BW62" si="28">(4.53*(AP22*$CS$7)/10^3)-(4.25*(AP2*$CS$7)/10^3)</f>
        <v>72.477160000000012</v>
      </c>
      <c r="BX22">
        <f t="shared" si="12"/>
        <v>5.0350000000000001</v>
      </c>
      <c r="BY22" s="5">
        <f>BV22+BW22+BX22</f>
        <v>96.574840000000009</v>
      </c>
      <c r="BZ22" s="5">
        <f>BY22+BU22</f>
        <v>169.73649999999998</v>
      </c>
      <c r="CA22" s="9">
        <f>((Q22/$CS$9)*$CS$5)/10^9</f>
        <v>101.74460904827136</v>
      </c>
      <c r="CB22" s="9">
        <f>(CA22*10^9)/(Q22/$CS$9)</f>
        <v>8.5</v>
      </c>
      <c r="CC22" s="16">
        <f>((R22/$CS$9)*$CS$6)/10^9</f>
        <v>23.621662690168829</v>
      </c>
      <c r="CD22" s="16">
        <f>(CC22*10^9)/(R22/$CS$9)</f>
        <v>0.27</v>
      </c>
      <c r="CE22" s="9">
        <f>CA22+BO22</f>
        <v>251.69710904827133</v>
      </c>
      <c r="CF22" s="9">
        <f>CE22</f>
        <v>251.69710904827133</v>
      </c>
      <c r="CG22" s="9">
        <f t="shared" ref="CG22:CG62" si="29">(CE22*10^9)/(Q22/$CS$9)</f>
        <v>21.027408202976972</v>
      </c>
      <c r="CH22" s="9">
        <f t="shared" ref="CH22:CH62" si="30">CA22+BU22</f>
        <v>174.90626904827133</v>
      </c>
      <c r="CI22" s="9">
        <f>CH22</f>
        <v>174.90626904827133</v>
      </c>
      <c r="CJ22" s="9">
        <f>CC22+BN22</f>
        <v>105.68466269016884</v>
      </c>
      <c r="CK22" s="9">
        <f>CJ22</f>
        <v>105.68466269016884</v>
      </c>
      <c r="CL22" s="9">
        <f t="shared" ref="CL22:CL62" si="31">(CJ22*10^9)/(R22/$CS$9)</f>
        <v>1.2079953600481137</v>
      </c>
      <c r="CM22" s="9">
        <f t="shared" ref="CM22:CM62" si="32">CC22+BY22</f>
        <v>120.19650269016884</v>
      </c>
      <c r="CN22" s="9">
        <f>CM22</f>
        <v>120.19650269016884</v>
      </c>
      <c r="CO22" s="9">
        <f t="shared" ref="CO22:CO62" si="33">CM22+CH22</f>
        <v>295.1027717384402</v>
      </c>
      <c r="CP22" s="9">
        <f>CO22</f>
        <v>295.1027717384402</v>
      </c>
      <c r="CR22" s="18" t="s">
        <v>82</v>
      </c>
      <c r="CS22" s="19" t="s">
        <v>75</v>
      </c>
      <c r="CT22" s="19" t="s">
        <v>77</v>
      </c>
      <c r="CU22" s="20">
        <v>0</v>
      </c>
      <c r="CV22" s="28">
        <f>(W42-W38)/W38</f>
        <v>0</v>
      </c>
      <c r="CX22" s="18" t="s">
        <v>74</v>
      </c>
      <c r="CY22" s="19" t="s">
        <v>98</v>
      </c>
      <c r="CZ22" s="19" t="s">
        <v>80</v>
      </c>
      <c r="DA22" s="20">
        <v>0</v>
      </c>
      <c r="DB22" s="40">
        <f>((AW37+AV37)-(AW32+AV32))/(AV32+AW32)</f>
        <v>0</v>
      </c>
    </row>
    <row r="23" spans="1:106" x14ac:dyDescent="0.3">
      <c r="A23" s="1">
        <v>2011</v>
      </c>
      <c r="B23" s="2">
        <v>92887400</v>
      </c>
      <c r="C23" s="2">
        <v>9155600</v>
      </c>
      <c r="D23" s="2">
        <v>4577200</v>
      </c>
      <c r="E23" s="2">
        <v>30912600</v>
      </c>
      <c r="F23" s="11">
        <f t="shared" si="13"/>
        <v>0.39053447304389133</v>
      </c>
      <c r="G23" s="2">
        <v>5134600</v>
      </c>
      <c r="H23" s="2">
        <v>9938000</v>
      </c>
      <c r="I23" s="2">
        <v>16394000</v>
      </c>
      <c r="J23" s="2">
        <v>14131500</v>
      </c>
      <c r="K23" s="12">
        <f t="shared" si="14"/>
        <v>0.17853036968161043</v>
      </c>
      <c r="L23" s="2">
        <v>2165100</v>
      </c>
      <c r="M23" s="2">
        <v>14610300</v>
      </c>
      <c r="N23" s="2">
        <f t="shared" si="15"/>
        <v>92887400</v>
      </c>
      <c r="O23" s="2">
        <f t="shared" si="16"/>
        <v>7397100</v>
      </c>
      <c r="P23" s="2">
        <f t="shared" si="17"/>
        <v>79154600</v>
      </c>
      <c r="Q23" s="2">
        <v>26270400000</v>
      </c>
      <c r="R23" s="2">
        <v>196255000000</v>
      </c>
      <c r="S23" s="9">
        <f t="shared" si="18"/>
        <v>282.81984424152256</v>
      </c>
      <c r="T23" s="2">
        <f t="shared" si="19"/>
        <v>21435.514876141377</v>
      </c>
      <c r="U23" s="9">
        <f t="shared" si="20"/>
        <v>331.88721817809704</v>
      </c>
      <c r="V23" s="2">
        <v>1645</v>
      </c>
      <c r="W23" s="1">
        <v>57</v>
      </c>
      <c r="X23" s="2">
        <v>1302</v>
      </c>
      <c r="Y23" s="1">
        <v>63</v>
      </c>
      <c r="Z23" s="1">
        <v>223</v>
      </c>
      <c r="AA23" s="17">
        <f t="shared" si="21"/>
        <v>0.38961108913356118</v>
      </c>
      <c r="AB23" s="39">
        <f t="shared" si="0"/>
        <v>46.06</v>
      </c>
      <c r="AC23" s="2">
        <v>4873</v>
      </c>
      <c r="AD23" s="1">
        <v>166</v>
      </c>
      <c r="AE23" s="1">
        <v>212</v>
      </c>
      <c r="AF23" s="2">
        <v>2927</v>
      </c>
      <c r="AG23" s="1">
        <v>74</v>
      </c>
      <c r="AH23" s="1">
        <v>202</v>
      </c>
      <c r="AI23" s="1">
        <v>436</v>
      </c>
      <c r="AJ23" s="1">
        <v>283</v>
      </c>
      <c r="AK23" s="1">
        <v>573</v>
      </c>
      <c r="AL23" s="1">
        <f t="shared" si="1"/>
        <v>136.44400000000002</v>
      </c>
      <c r="AM23" s="16">
        <f t="shared" si="22"/>
        <v>0.25941454559602817</v>
      </c>
      <c r="AN23" s="16">
        <f t="shared" si="23"/>
        <v>0.11108962344398191</v>
      </c>
      <c r="AO23" s="2">
        <v>6518</v>
      </c>
      <c r="AP23" s="2">
        <v>1144</v>
      </c>
      <c r="AQ23" s="2">
        <v>1134</v>
      </c>
      <c r="AR23" s="1">
        <v>8</v>
      </c>
      <c r="AS23" s="1">
        <v>2</v>
      </c>
      <c r="AT23" s="1">
        <f t="shared" si="2"/>
        <v>32.031999999999996</v>
      </c>
      <c r="AU23" s="1">
        <v>131</v>
      </c>
      <c r="AV23" s="1">
        <v>17</v>
      </c>
      <c r="AW23" s="1">
        <v>9</v>
      </c>
      <c r="AX23" s="1">
        <v>5</v>
      </c>
      <c r="AY23" s="1">
        <v>7</v>
      </c>
      <c r="AZ23" s="1">
        <v>12</v>
      </c>
      <c r="BA23" s="1">
        <v>10</v>
      </c>
      <c r="BB23" s="1">
        <v>71</v>
      </c>
      <c r="BC23" s="1">
        <f t="shared" si="3"/>
        <v>3.6680000000000001</v>
      </c>
      <c r="BD23" s="1">
        <v>19.3</v>
      </c>
      <c r="BE23" s="1">
        <v>10.9</v>
      </c>
      <c r="BF23" s="1">
        <v>8.4</v>
      </c>
      <c r="BG23" s="1" t="s">
        <v>48</v>
      </c>
      <c r="BH23" s="1">
        <f t="shared" si="4"/>
        <v>5.1145000000000005</v>
      </c>
      <c r="BI23" s="1">
        <v>25.9</v>
      </c>
      <c r="BJ23" s="1">
        <v>16.899999999999999</v>
      </c>
      <c r="BK23" s="1">
        <v>9.1</v>
      </c>
      <c r="BL23" s="2">
        <f t="shared" si="5"/>
        <v>2789</v>
      </c>
      <c r="BM23" s="2">
        <f t="shared" si="6"/>
        <v>5004</v>
      </c>
      <c r="BN23" s="9">
        <f t="shared" si="7"/>
        <v>83.206500000000005</v>
      </c>
      <c r="BO23" s="9">
        <f t="shared" si="8"/>
        <v>146.97549999999998</v>
      </c>
      <c r="BP23" s="16">
        <f t="shared" si="9"/>
        <v>0.93469574803189726</v>
      </c>
      <c r="BQ23" s="17">
        <f t="shared" si="10"/>
        <v>12.334228896781164</v>
      </c>
      <c r="BR23" s="5">
        <f t="shared" si="25"/>
        <v>48.557320000000118</v>
      </c>
      <c r="BS23" s="5">
        <f t="shared" si="26"/>
        <v>0.96180000000000021</v>
      </c>
      <c r="BT23">
        <f t="shared" si="11"/>
        <v>6.8635000000000002</v>
      </c>
      <c r="BU23" s="5">
        <f t="shared" ref="BU23:BU62" si="34">BR23+BS23+BT23</f>
        <v>56.382620000000117</v>
      </c>
      <c r="BV23" s="5">
        <f t="shared" si="27"/>
        <v>23.130800000000022</v>
      </c>
      <c r="BW23" s="5">
        <f t="shared" si="28"/>
        <v>72.87196000000003</v>
      </c>
      <c r="BX23">
        <f t="shared" si="12"/>
        <v>5.1144999999999996</v>
      </c>
      <c r="BY23" s="5">
        <f t="shared" ref="BY23:BY62" si="35">BV23+BW23+BX23</f>
        <v>101.11726000000004</v>
      </c>
      <c r="BZ23" s="5">
        <f t="shared" ref="BZ23:BZ62" si="36">BY23+BU23</f>
        <v>157.49988000000016</v>
      </c>
      <c r="CA23" s="9">
        <f>CA22</f>
        <v>101.74460904827136</v>
      </c>
      <c r="CB23" s="9">
        <f t="shared" ref="CB23:CB62" si="37">(CA23*10^9)/(Q23/$CS$9)</f>
        <v>8.538438699068152</v>
      </c>
      <c r="CC23" s="16">
        <f>CC22</f>
        <v>23.621662690168829</v>
      </c>
      <c r="CD23" s="16">
        <f t="shared" ref="CD23:CD62" si="38">(CC23*10^9)/(R23/$CS$9)</f>
        <v>0.26535267891263919</v>
      </c>
      <c r="CE23" s="9">
        <f t="shared" ref="CE23:CE62" si="39">CA23+BO23</f>
        <v>248.72010904827135</v>
      </c>
      <c r="CF23" s="9">
        <f>CF22+CE23</f>
        <v>500.41721809654268</v>
      </c>
      <c r="CG23" s="9">
        <f t="shared" si="29"/>
        <v>20.872667595849318</v>
      </c>
      <c r="CH23" s="9">
        <f t="shared" si="30"/>
        <v>158.12722904827149</v>
      </c>
      <c r="CI23" s="9">
        <f>CI22+CH23</f>
        <v>333.03349809654281</v>
      </c>
      <c r="CJ23" s="9">
        <f t="shared" ref="CJ23:CJ62" si="40">CC23+BN23</f>
        <v>106.82816269016884</v>
      </c>
      <c r="CK23" s="9">
        <f>CK22+CJ23</f>
        <v>212.51282538033769</v>
      </c>
      <c r="CL23" s="9">
        <f t="shared" si="31"/>
        <v>1.2000484269445366</v>
      </c>
      <c r="CM23" s="9">
        <f t="shared" si="32"/>
        <v>124.73892269016888</v>
      </c>
      <c r="CN23" s="9">
        <f>CN22+CM23</f>
        <v>244.93542538033773</v>
      </c>
      <c r="CO23" s="9">
        <f t="shared" si="33"/>
        <v>282.86615173844035</v>
      </c>
      <c r="CP23" s="9">
        <f>CP22+CO23</f>
        <v>577.96892347688049</v>
      </c>
      <c r="CR23" s="18" t="s">
        <v>82</v>
      </c>
      <c r="CS23" s="19" t="s">
        <v>78</v>
      </c>
      <c r="CT23" s="19" t="s">
        <v>77</v>
      </c>
      <c r="CU23" s="20">
        <v>0</v>
      </c>
      <c r="CV23" s="28">
        <f>((Z42+Y42)-(Z38+Y38))/(Y38+Z38)</f>
        <v>0</v>
      </c>
      <c r="CX23" s="18" t="s">
        <v>74</v>
      </c>
      <c r="CY23" s="19" t="s">
        <v>18</v>
      </c>
      <c r="CZ23" s="19" t="s">
        <v>80</v>
      </c>
      <c r="DA23" s="20">
        <v>0</v>
      </c>
      <c r="DB23" s="40">
        <f>(AX37-AX32)/AX32</f>
        <v>0</v>
      </c>
    </row>
    <row r="24" spans="1:106" x14ac:dyDescent="0.3">
      <c r="A24" s="1">
        <v>2012</v>
      </c>
      <c r="B24" s="2">
        <v>91160200</v>
      </c>
      <c r="C24" s="2">
        <v>9235500</v>
      </c>
      <c r="D24" s="2">
        <v>4618000</v>
      </c>
      <c r="E24" s="2">
        <v>30281900</v>
      </c>
      <c r="F24" s="11">
        <f t="shared" si="13"/>
        <v>0.39171119708899749</v>
      </c>
      <c r="G24" s="2">
        <v>5280600</v>
      </c>
      <c r="H24" s="2">
        <v>9546200</v>
      </c>
      <c r="I24" s="2">
        <v>15956500</v>
      </c>
      <c r="J24" s="2">
        <v>14355300</v>
      </c>
      <c r="K24" s="12">
        <f t="shared" si="14"/>
        <v>0.18569283128111794</v>
      </c>
      <c r="L24" s="2">
        <v>2100300</v>
      </c>
      <c r="M24" s="2">
        <v>14141200</v>
      </c>
      <c r="N24" s="2">
        <f t="shared" si="15"/>
        <v>91160200</v>
      </c>
      <c r="O24" s="2">
        <f t="shared" si="16"/>
        <v>6881800</v>
      </c>
      <c r="P24" s="2">
        <f t="shared" si="17"/>
        <v>77306700</v>
      </c>
      <c r="Q24" s="2">
        <v>25989400000</v>
      </c>
      <c r="R24" s="2">
        <v>200642000000</v>
      </c>
      <c r="S24" s="9">
        <f t="shared" si="18"/>
        <v>285.095908082694</v>
      </c>
      <c r="T24" s="2">
        <f t="shared" si="19"/>
        <v>21725.082561853716</v>
      </c>
      <c r="U24" s="9">
        <f t="shared" si="20"/>
        <v>336.1856087505999</v>
      </c>
      <c r="V24" s="2">
        <v>1670</v>
      </c>
      <c r="W24" s="1">
        <v>58</v>
      </c>
      <c r="X24" s="2">
        <v>1326</v>
      </c>
      <c r="Y24" s="1">
        <v>62</v>
      </c>
      <c r="Z24" s="1">
        <v>224</v>
      </c>
      <c r="AA24" s="17">
        <f t="shared" si="21"/>
        <v>0.39336004681162551</v>
      </c>
      <c r="AB24" s="39">
        <f t="shared" si="0"/>
        <v>46.76</v>
      </c>
      <c r="AC24" s="2">
        <v>4763</v>
      </c>
      <c r="AD24" s="1">
        <v>161</v>
      </c>
      <c r="AE24" s="1">
        <v>206</v>
      </c>
      <c r="AF24" s="2">
        <v>2868</v>
      </c>
      <c r="AG24" s="1">
        <v>76</v>
      </c>
      <c r="AH24" s="1">
        <v>208</v>
      </c>
      <c r="AI24" s="1">
        <v>413</v>
      </c>
      <c r="AJ24" s="1">
        <v>266</v>
      </c>
      <c r="AK24" s="1">
        <v>565</v>
      </c>
      <c r="AL24" s="1">
        <f t="shared" si="1"/>
        <v>133.364</v>
      </c>
      <c r="AM24" s="16">
        <f t="shared" si="22"/>
        <v>0.25947956523782661</v>
      </c>
      <c r="AN24" s="16">
        <f t="shared" si="23"/>
        <v>0.10783091997237619</v>
      </c>
      <c r="AO24" s="2">
        <v>6433</v>
      </c>
      <c r="AP24" s="2">
        <v>1188</v>
      </c>
      <c r="AQ24" s="2">
        <v>1177</v>
      </c>
      <c r="AR24" s="1">
        <v>9</v>
      </c>
      <c r="AS24" s="1">
        <v>2</v>
      </c>
      <c r="AT24" s="1">
        <f t="shared" si="2"/>
        <v>33.263999999999996</v>
      </c>
      <c r="AU24" s="1">
        <v>128</v>
      </c>
      <c r="AV24" s="1">
        <v>16</v>
      </c>
      <c r="AW24" s="1">
        <v>9</v>
      </c>
      <c r="AX24" s="1">
        <v>5</v>
      </c>
      <c r="AY24" s="1">
        <v>7</v>
      </c>
      <c r="AZ24" s="1">
        <v>12</v>
      </c>
      <c r="BA24" s="1">
        <v>9</v>
      </c>
      <c r="BB24" s="1">
        <v>69</v>
      </c>
      <c r="BC24" s="1">
        <f t="shared" si="3"/>
        <v>3.5840000000000001</v>
      </c>
      <c r="BD24" s="1">
        <v>19.5</v>
      </c>
      <c r="BE24" s="1">
        <v>11.1</v>
      </c>
      <c r="BF24" s="1">
        <v>8.5</v>
      </c>
      <c r="BG24" s="1" t="s">
        <v>48</v>
      </c>
      <c r="BH24" s="1">
        <f t="shared" si="4"/>
        <v>5.1675000000000004</v>
      </c>
      <c r="BI24" s="1">
        <v>25.8</v>
      </c>
      <c r="BJ24" s="1">
        <v>16.7</v>
      </c>
      <c r="BK24" s="1">
        <v>9</v>
      </c>
      <c r="BL24" s="2">
        <f t="shared" si="5"/>
        <v>2858</v>
      </c>
      <c r="BM24" s="2">
        <f t="shared" si="6"/>
        <v>4891</v>
      </c>
      <c r="BN24" s="9">
        <f t="shared" si="7"/>
        <v>85.191500000000005</v>
      </c>
      <c r="BO24" s="9">
        <f t="shared" si="8"/>
        <v>143.785</v>
      </c>
      <c r="BP24" s="16">
        <f t="shared" si="9"/>
        <v>0.93606964010526206</v>
      </c>
      <c r="BQ24" s="17">
        <f t="shared" si="10"/>
        <v>12.196945166106179</v>
      </c>
      <c r="BR24" s="5">
        <f t="shared" si="25"/>
        <v>9.2579200000001265</v>
      </c>
      <c r="BS24" s="5">
        <f t="shared" si="26"/>
        <v>0.23939999999999628</v>
      </c>
      <c r="BT24">
        <f t="shared" si="11"/>
        <v>6.8369999999999997</v>
      </c>
      <c r="BU24" s="5">
        <f t="shared" si="34"/>
        <v>16.334320000000123</v>
      </c>
      <c r="BV24" s="5">
        <f t="shared" si="27"/>
        <v>28.800800000000038</v>
      </c>
      <c r="BW24" s="5">
        <f t="shared" si="28"/>
        <v>80.356920000000017</v>
      </c>
      <c r="BX24">
        <f t="shared" si="12"/>
        <v>5.1675000000000004</v>
      </c>
      <c r="BY24" s="5">
        <f t="shared" si="35"/>
        <v>114.32522000000006</v>
      </c>
      <c r="BZ24" s="5">
        <f t="shared" si="36"/>
        <v>130.65954000000019</v>
      </c>
      <c r="CA24" s="9">
        <f>CA23</f>
        <v>101.74460904827136</v>
      </c>
      <c r="CB24" s="9">
        <f t="shared" si="37"/>
        <v>8.6307571548400492</v>
      </c>
      <c r="CC24" s="16">
        <f t="shared" ref="CC24:CC31" si="41">CC23</f>
        <v>23.621662690168829</v>
      </c>
      <c r="CD24" s="16">
        <f t="shared" si="38"/>
        <v>0.25955079195781544</v>
      </c>
      <c r="CE24" s="9">
        <f t="shared" si="39"/>
        <v>245.52960904827137</v>
      </c>
      <c r="CF24" s="9">
        <f t="shared" ref="CF24:CF62" si="42">CF23+CE24</f>
        <v>745.94682714481405</v>
      </c>
      <c r="CG24" s="9">
        <f t="shared" si="29"/>
        <v>20.82770232094623</v>
      </c>
      <c r="CH24" s="9">
        <f t="shared" si="30"/>
        <v>118.07892904827148</v>
      </c>
      <c r="CI24" s="9">
        <f t="shared" ref="CI24:CI62" si="43">CI23+CH24</f>
        <v>451.11242714481432</v>
      </c>
      <c r="CJ24" s="9">
        <f t="shared" si="40"/>
        <v>108.81316269016884</v>
      </c>
      <c r="CK24" s="9">
        <f>CK23+CJ24</f>
        <v>321.32598807050653</v>
      </c>
      <c r="CL24" s="9">
        <f t="shared" si="31"/>
        <v>1.1956204320630777</v>
      </c>
      <c r="CM24" s="9">
        <f t="shared" si="32"/>
        <v>137.94688269016888</v>
      </c>
      <c r="CN24" s="9">
        <f>CN23+CM24</f>
        <v>382.88230807050661</v>
      </c>
      <c r="CO24" s="9">
        <f t="shared" si="33"/>
        <v>256.02581173844032</v>
      </c>
      <c r="CP24" s="9">
        <f t="shared" ref="CP24:CP62" si="44">CP23+CO24</f>
        <v>833.99473521532082</v>
      </c>
      <c r="CR24" s="18" t="s">
        <v>82</v>
      </c>
      <c r="CS24" s="19" t="s">
        <v>79</v>
      </c>
      <c r="CT24" s="19" t="s">
        <v>77</v>
      </c>
      <c r="CU24" s="20">
        <v>-3.3E-4</v>
      </c>
      <c r="CV24" s="28">
        <f>(X42-X38)/X38</f>
        <v>-1.3193467437364805E-3</v>
      </c>
      <c r="CX24" s="18" t="s">
        <v>74</v>
      </c>
      <c r="CY24" s="19" t="s">
        <v>98</v>
      </c>
      <c r="CZ24" s="19" t="s">
        <v>81</v>
      </c>
      <c r="DA24" s="20">
        <v>0</v>
      </c>
      <c r="DB24" s="40">
        <f>((BK37+BJ37)-(BK32+BJ32))/(BJ32+BK32)</f>
        <v>0</v>
      </c>
    </row>
    <row r="25" spans="1:106" x14ac:dyDescent="0.3">
      <c r="A25" s="1">
        <v>2013</v>
      </c>
      <c r="B25" s="2">
        <v>90095200</v>
      </c>
      <c r="C25" s="2">
        <v>9221200</v>
      </c>
      <c r="D25" s="2">
        <v>4545700</v>
      </c>
      <c r="E25" s="2">
        <v>29631300</v>
      </c>
      <c r="F25" s="11">
        <f t="shared" si="13"/>
        <v>0.38820856746449223</v>
      </c>
      <c r="G25" s="2">
        <v>5429200</v>
      </c>
      <c r="H25" s="2">
        <v>9280600</v>
      </c>
      <c r="I25" s="2">
        <v>15930500</v>
      </c>
      <c r="J25" s="2">
        <v>13703300</v>
      </c>
      <c r="K25" s="12">
        <f t="shared" si="14"/>
        <v>0.17953105204753675</v>
      </c>
      <c r="L25" s="2">
        <v>2073700</v>
      </c>
      <c r="M25" s="2">
        <v>13983000</v>
      </c>
      <c r="N25" s="2">
        <f t="shared" si="15"/>
        <v>90095200</v>
      </c>
      <c r="O25" s="2">
        <f t="shared" si="16"/>
        <v>7656400</v>
      </c>
      <c r="P25" s="2">
        <f t="shared" si="17"/>
        <v>76328300</v>
      </c>
      <c r="Q25" s="2">
        <v>25789900000</v>
      </c>
      <c r="R25" s="2">
        <v>201260000000</v>
      </c>
      <c r="S25" s="9">
        <f t="shared" si="18"/>
        <v>286.25165380619609</v>
      </c>
      <c r="T25" s="2">
        <f t="shared" si="19"/>
        <v>21825.792738472217</v>
      </c>
      <c r="U25" s="9">
        <f t="shared" si="20"/>
        <v>337.88123146984799</v>
      </c>
      <c r="V25" s="2">
        <v>1664</v>
      </c>
      <c r="W25" s="1">
        <v>58</v>
      </c>
      <c r="X25" s="2">
        <v>1325</v>
      </c>
      <c r="Y25" s="1">
        <v>61</v>
      </c>
      <c r="Z25" s="1">
        <v>220</v>
      </c>
      <c r="AA25" s="17">
        <f t="shared" si="21"/>
        <v>0.39367294780520645</v>
      </c>
      <c r="AB25" s="39">
        <f t="shared" si="0"/>
        <v>46.591999999999999</v>
      </c>
      <c r="AC25" s="2">
        <v>4722</v>
      </c>
      <c r="AD25" s="1">
        <v>157</v>
      </c>
      <c r="AE25" s="1">
        <v>203</v>
      </c>
      <c r="AF25" s="2">
        <v>2806</v>
      </c>
      <c r="AG25" s="1">
        <v>78</v>
      </c>
      <c r="AH25" s="1">
        <v>213</v>
      </c>
      <c r="AI25" s="1">
        <v>431</v>
      </c>
      <c r="AJ25" s="1">
        <v>267</v>
      </c>
      <c r="AK25" s="1">
        <v>568</v>
      </c>
      <c r="AL25" s="1">
        <f t="shared" si="1"/>
        <v>132.21600000000001</v>
      </c>
      <c r="AM25" s="16">
        <f t="shared" si="22"/>
        <v>0.25944427793842029</v>
      </c>
      <c r="AN25" s="16">
        <f t="shared" si="23"/>
        <v>0.11356128695727626</v>
      </c>
      <c r="AO25" s="2">
        <v>6386</v>
      </c>
      <c r="AP25" s="2">
        <v>1167</v>
      </c>
      <c r="AQ25" s="2">
        <v>1157</v>
      </c>
      <c r="AR25" s="1">
        <v>8</v>
      </c>
      <c r="AS25" s="1">
        <v>2</v>
      </c>
      <c r="AT25" s="1">
        <f t="shared" si="2"/>
        <v>32.676000000000002</v>
      </c>
      <c r="AU25" s="1">
        <v>122</v>
      </c>
      <c r="AV25" s="1">
        <v>16</v>
      </c>
      <c r="AW25" s="1">
        <v>9</v>
      </c>
      <c r="AX25" s="1">
        <v>5</v>
      </c>
      <c r="AY25" s="1">
        <v>6</v>
      </c>
      <c r="AZ25" s="1">
        <v>12</v>
      </c>
      <c r="BA25" s="1">
        <v>9</v>
      </c>
      <c r="BB25" s="1">
        <v>65</v>
      </c>
      <c r="BC25" s="1">
        <f t="shared" si="3"/>
        <v>3.4159999999999999</v>
      </c>
      <c r="BD25" s="1">
        <v>19.399999999999999</v>
      </c>
      <c r="BE25" s="1">
        <v>11.1</v>
      </c>
      <c r="BF25" s="1">
        <v>8.3000000000000007</v>
      </c>
      <c r="BG25" s="1" t="s">
        <v>48</v>
      </c>
      <c r="BH25" s="1">
        <f t="shared" si="4"/>
        <v>5.1409999999999991</v>
      </c>
      <c r="BI25" s="1">
        <v>26</v>
      </c>
      <c r="BJ25" s="1">
        <v>17</v>
      </c>
      <c r="BK25" s="1">
        <v>9</v>
      </c>
      <c r="BL25" s="2">
        <f t="shared" si="5"/>
        <v>2831</v>
      </c>
      <c r="BM25" s="2">
        <f t="shared" si="6"/>
        <v>4844</v>
      </c>
      <c r="BN25" s="9">
        <f t="shared" si="7"/>
        <v>84.409000000000006</v>
      </c>
      <c r="BO25" s="9">
        <f t="shared" si="8"/>
        <v>142.52199999999999</v>
      </c>
      <c r="BP25" s="16">
        <f t="shared" si="9"/>
        <v>0.92462371847361624</v>
      </c>
      <c r="BQ25" s="17">
        <f t="shared" si="10"/>
        <v>12.183329584061976</v>
      </c>
      <c r="BR25" s="5">
        <f t="shared" si="25"/>
        <v>-9.151520000000005</v>
      </c>
      <c r="BS25" s="5">
        <f t="shared" si="26"/>
        <v>-0.61040000000000205</v>
      </c>
      <c r="BT25">
        <f t="shared" si="11"/>
        <v>6.89</v>
      </c>
      <c r="BU25" s="5">
        <f t="shared" si="34"/>
        <v>-2.8719200000000074</v>
      </c>
      <c r="BV25" s="5">
        <f t="shared" si="27"/>
        <v>29.467760000000027</v>
      </c>
      <c r="BW25" s="5">
        <f t="shared" si="28"/>
        <v>74.956279999999992</v>
      </c>
      <c r="BX25">
        <f t="shared" si="12"/>
        <v>5.141</v>
      </c>
      <c r="BY25" s="5">
        <f t="shared" si="35"/>
        <v>109.56504000000002</v>
      </c>
      <c r="BZ25" s="5">
        <f t="shared" si="36"/>
        <v>106.69312000000002</v>
      </c>
      <c r="CA25" s="9">
        <f t="shared" ref="CA25:CA31" si="45">CA24</f>
        <v>101.74460904827136</v>
      </c>
      <c r="CB25" s="9">
        <f t="shared" si="37"/>
        <v>8.6975211226100146</v>
      </c>
      <c r="CC25" s="16">
        <f t="shared" si="41"/>
        <v>23.621662690168829</v>
      </c>
      <c r="CD25" s="16">
        <f t="shared" si="38"/>
        <v>0.25875380105336382</v>
      </c>
      <c r="CE25" s="9">
        <f t="shared" si="39"/>
        <v>244.26660904827133</v>
      </c>
      <c r="CF25" s="9">
        <f t="shared" si="42"/>
        <v>990.21343619308539</v>
      </c>
      <c r="CG25" s="9">
        <f t="shared" si="29"/>
        <v>20.880850706671989</v>
      </c>
      <c r="CH25" s="9">
        <f t="shared" si="30"/>
        <v>98.872689048271354</v>
      </c>
      <c r="CI25" s="9">
        <f t="shared" si="43"/>
        <v>549.98511619308567</v>
      </c>
      <c r="CJ25" s="9">
        <f t="shared" si="40"/>
        <v>108.03066269016884</v>
      </c>
      <c r="CK25" s="9">
        <f t="shared" ref="CK25:CK62" si="46">CK24+CJ25</f>
        <v>429.35665076067539</v>
      </c>
      <c r="CL25" s="9">
        <f t="shared" si="31"/>
        <v>1.18337751952698</v>
      </c>
      <c r="CM25" s="9">
        <f t="shared" si="32"/>
        <v>133.18670269016886</v>
      </c>
      <c r="CN25" s="9">
        <f t="shared" ref="CN25:CN62" si="47">CN24+CM25</f>
        <v>516.0690107606755</v>
      </c>
      <c r="CO25" s="9">
        <f t="shared" si="33"/>
        <v>232.05939173844021</v>
      </c>
      <c r="CP25" s="9">
        <f t="shared" si="44"/>
        <v>1066.0541269537609</v>
      </c>
      <c r="CR25" s="18" t="s">
        <v>82</v>
      </c>
      <c r="CS25" s="19" t="s">
        <v>75</v>
      </c>
      <c r="CT25" s="19" t="s">
        <v>80</v>
      </c>
      <c r="CU25" s="20">
        <v>0</v>
      </c>
      <c r="CV25" s="28">
        <f>(AS42-AS38)/AS38</f>
        <v>0</v>
      </c>
      <c r="CX25" s="18" t="s">
        <v>82</v>
      </c>
      <c r="CY25" s="19" t="s">
        <v>95</v>
      </c>
      <c r="CZ25" s="19" t="s">
        <v>77</v>
      </c>
      <c r="DA25" s="20">
        <v>0</v>
      </c>
      <c r="DB25" s="40">
        <f>(AF42-AF38)/AF38</f>
        <v>0</v>
      </c>
    </row>
    <row r="26" spans="1:106" x14ac:dyDescent="0.3">
      <c r="A26" s="1">
        <v>2014</v>
      </c>
      <c r="B26" s="2">
        <v>88243000</v>
      </c>
      <c r="C26" s="2">
        <v>9208600</v>
      </c>
      <c r="D26" s="2">
        <v>4538700</v>
      </c>
      <c r="E26" s="2">
        <v>28956400</v>
      </c>
      <c r="F26" s="11">
        <f t="shared" si="13"/>
        <v>0.38869894503978081</v>
      </c>
      <c r="G26" s="2">
        <v>5556300</v>
      </c>
      <c r="H26" s="2">
        <v>8824400</v>
      </c>
      <c r="I26" s="2">
        <v>15622900</v>
      </c>
      <c r="J26" s="2">
        <v>12949300</v>
      </c>
      <c r="K26" s="12">
        <f t="shared" si="14"/>
        <v>0.17382614030071533</v>
      </c>
      <c r="L26" s="2">
        <v>2037800</v>
      </c>
      <c r="M26" s="2">
        <v>13497900</v>
      </c>
      <c r="N26" s="2">
        <f t="shared" si="15"/>
        <v>88243000</v>
      </c>
      <c r="O26" s="2">
        <f t="shared" si="16"/>
        <v>8229900</v>
      </c>
      <c r="P26" s="2">
        <f t="shared" si="17"/>
        <v>74495700</v>
      </c>
      <c r="Q26" s="2">
        <v>24314500000</v>
      </c>
      <c r="R26" s="2">
        <v>206048000000</v>
      </c>
      <c r="S26" s="9">
        <f t="shared" si="18"/>
        <v>275.54026948313179</v>
      </c>
      <c r="T26" s="2">
        <f t="shared" si="19"/>
        <v>22375.605412331952</v>
      </c>
      <c r="U26" s="9">
        <f t="shared" si="20"/>
        <v>326.38796601683049</v>
      </c>
      <c r="V26" s="2">
        <v>1679</v>
      </c>
      <c r="W26" s="1">
        <v>58</v>
      </c>
      <c r="X26" s="2">
        <v>1337</v>
      </c>
      <c r="Y26" s="1">
        <v>63</v>
      </c>
      <c r="Z26" s="1">
        <v>221</v>
      </c>
      <c r="AA26" s="17">
        <f t="shared" si="21"/>
        <v>0.39778182336404416</v>
      </c>
      <c r="AB26" s="39">
        <f t="shared" si="0"/>
        <v>47.012</v>
      </c>
      <c r="AC26" s="2">
        <v>4660</v>
      </c>
      <c r="AD26" s="1">
        <v>156</v>
      </c>
      <c r="AE26" s="1">
        <v>200</v>
      </c>
      <c r="AF26" s="2">
        <v>2754</v>
      </c>
      <c r="AG26" s="1">
        <v>83</v>
      </c>
      <c r="AH26" s="1">
        <v>218</v>
      </c>
      <c r="AI26" s="1">
        <v>426</v>
      </c>
      <c r="AJ26" s="1">
        <v>256</v>
      </c>
      <c r="AK26" s="1">
        <v>567</v>
      </c>
      <c r="AL26" s="1">
        <f t="shared" si="1"/>
        <v>130.48000000000002</v>
      </c>
      <c r="AM26" s="16">
        <f t="shared" si="22"/>
        <v>0.26057125469506071</v>
      </c>
      <c r="AN26" s="16">
        <f t="shared" si="23"/>
        <v>0.11996205644585009</v>
      </c>
      <c r="AO26" s="2">
        <v>6339</v>
      </c>
      <c r="AP26" s="2">
        <v>1190</v>
      </c>
      <c r="AQ26" s="2">
        <v>1180</v>
      </c>
      <c r="AR26" s="1">
        <v>8</v>
      </c>
      <c r="AS26" s="1">
        <v>2</v>
      </c>
      <c r="AT26" s="1">
        <f t="shared" si="2"/>
        <v>33.32</v>
      </c>
      <c r="AU26" s="1">
        <v>120</v>
      </c>
      <c r="AV26" s="1">
        <v>16</v>
      </c>
      <c r="AW26" s="1">
        <v>9</v>
      </c>
      <c r="AX26" s="1">
        <v>5</v>
      </c>
      <c r="AY26" s="1">
        <v>6</v>
      </c>
      <c r="AZ26" s="1">
        <v>12</v>
      </c>
      <c r="BA26" s="1">
        <v>9</v>
      </c>
      <c r="BB26" s="1">
        <v>63</v>
      </c>
      <c r="BC26" s="1">
        <f t="shared" si="3"/>
        <v>3.36</v>
      </c>
      <c r="BD26" s="1">
        <v>19.600000000000001</v>
      </c>
      <c r="BE26" s="1">
        <v>11.2</v>
      </c>
      <c r="BF26" s="1">
        <v>8.4</v>
      </c>
      <c r="BG26" s="1" t="s">
        <v>48</v>
      </c>
      <c r="BH26" s="1">
        <f t="shared" si="4"/>
        <v>5.1940000000000008</v>
      </c>
      <c r="BI26" s="1">
        <v>26</v>
      </c>
      <c r="BJ26" s="1">
        <v>17.3</v>
      </c>
      <c r="BK26" s="1">
        <v>8.8000000000000007</v>
      </c>
      <c r="BL26" s="2">
        <f t="shared" si="5"/>
        <v>2869</v>
      </c>
      <c r="BM26" s="2">
        <f t="shared" si="6"/>
        <v>4780</v>
      </c>
      <c r="BN26" s="9">
        <f t="shared" si="7"/>
        <v>85.525999999999996</v>
      </c>
      <c r="BO26" s="9">
        <f t="shared" si="8"/>
        <v>140.72999999999999</v>
      </c>
      <c r="BP26" s="16">
        <f t="shared" si="9"/>
        <v>0.91508934869544944</v>
      </c>
      <c r="BQ26" s="17">
        <f t="shared" si="10"/>
        <v>12.760129659256821</v>
      </c>
      <c r="BR26" s="5">
        <f t="shared" si="25"/>
        <v>-34.032600000000002</v>
      </c>
      <c r="BS26" s="5">
        <f t="shared" si="26"/>
        <v>-1.4490000000000034</v>
      </c>
      <c r="BT26">
        <f t="shared" si="11"/>
        <v>6.89</v>
      </c>
      <c r="BU26" s="5">
        <f t="shared" si="34"/>
        <v>-28.591600000000007</v>
      </c>
      <c r="BV26" s="5">
        <f t="shared" si="27"/>
        <v>34.226360000000028</v>
      </c>
      <c r="BW26" s="5">
        <f t="shared" si="28"/>
        <v>72.99460000000002</v>
      </c>
      <c r="BX26">
        <f t="shared" si="12"/>
        <v>5.194</v>
      </c>
      <c r="BY26" s="5">
        <f t="shared" si="35"/>
        <v>112.41496000000005</v>
      </c>
      <c r="BZ26" s="5">
        <f t="shared" si="36"/>
        <v>83.823360000000037</v>
      </c>
      <c r="CA26" s="9">
        <f t="shared" si="45"/>
        <v>101.74460904827136</v>
      </c>
      <c r="CB26" s="9">
        <f t="shared" si="37"/>
        <v>9.2252853235723542</v>
      </c>
      <c r="CC26" s="16">
        <f t="shared" si="41"/>
        <v>23.621662690168829</v>
      </c>
      <c r="CD26" s="16">
        <f t="shared" si="38"/>
        <v>0.25274106033545585</v>
      </c>
      <c r="CE26" s="9">
        <f t="shared" si="39"/>
        <v>242.47460904827136</v>
      </c>
      <c r="CF26" s="9">
        <f t="shared" si="42"/>
        <v>1232.6880452413568</v>
      </c>
      <c r="CG26" s="9">
        <f t="shared" si="29"/>
        <v>21.985414982829177</v>
      </c>
      <c r="CH26" s="9">
        <f t="shared" si="30"/>
        <v>73.153009048271343</v>
      </c>
      <c r="CI26" s="9">
        <f t="shared" si="43"/>
        <v>623.13812524135699</v>
      </c>
      <c r="CJ26" s="9">
        <f t="shared" si="40"/>
        <v>109.14766269016883</v>
      </c>
      <c r="CK26" s="9">
        <f t="shared" si="46"/>
        <v>538.50431345084417</v>
      </c>
      <c r="CL26" s="9">
        <f t="shared" si="31"/>
        <v>1.1678304090309053</v>
      </c>
      <c r="CM26" s="9">
        <f t="shared" si="32"/>
        <v>136.03662269016888</v>
      </c>
      <c r="CN26" s="9">
        <f t="shared" si="47"/>
        <v>652.10563345084438</v>
      </c>
      <c r="CO26" s="9">
        <f t="shared" si="33"/>
        <v>209.18963173844023</v>
      </c>
      <c r="CP26" s="9">
        <f t="shared" si="44"/>
        <v>1275.2437586922013</v>
      </c>
      <c r="CR26" s="18" t="s">
        <v>82</v>
      </c>
      <c r="CS26" s="19" t="s">
        <v>78</v>
      </c>
      <c r="CT26" s="19" t="s">
        <v>80</v>
      </c>
      <c r="CU26" s="20">
        <v>0</v>
      </c>
      <c r="CV26" s="28">
        <f>(AR42-AR38)/AR38</f>
        <v>0</v>
      </c>
      <c r="CX26" s="18" t="s">
        <v>82</v>
      </c>
      <c r="CY26" s="19" t="s">
        <v>99</v>
      </c>
      <c r="CZ26" s="19" t="s">
        <v>77</v>
      </c>
      <c r="DA26" s="20">
        <v>0</v>
      </c>
      <c r="DB26" s="40">
        <f>(AD42-AD38)/AD38</f>
        <v>0</v>
      </c>
    </row>
    <row r="27" spans="1:106" x14ac:dyDescent="0.3">
      <c r="A27" s="1">
        <v>2015</v>
      </c>
      <c r="B27" s="2">
        <v>89173000</v>
      </c>
      <c r="C27" s="2">
        <v>9311900</v>
      </c>
      <c r="D27" s="2">
        <v>4710400</v>
      </c>
      <c r="E27" s="2">
        <v>29332100</v>
      </c>
      <c r="F27" s="11">
        <f t="shared" si="13"/>
        <v>0.39031040296364505</v>
      </c>
      <c r="G27" s="2">
        <v>6086400</v>
      </c>
      <c r="H27" s="2">
        <v>8469400</v>
      </c>
      <c r="I27" s="2">
        <v>15629500</v>
      </c>
      <c r="J27" s="2">
        <v>13024800</v>
      </c>
      <c r="K27" s="12">
        <f t="shared" si="14"/>
        <v>0.17331575088455597</v>
      </c>
      <c r="L27" s="2">
        <v>2109400</v>
      </c>
      <c r="M27" s="2">
        <v>13523900</v>
      </c>
      <c r="N27" s="2">
        <f t="shared" si="15"/>
        <v>89173000</v>
      </c>
      <c r="O27" s="2">
        <f t="shared" si="16"/>
        <v>8691100</v>
      </c>
      <c r="P27" s="2">
        <f t="shared" si="17"/>
        <v>75150700</v>
      </c>
      <c r="Q27" s="2">
        <v>23760300000</v>
      </c>
      <c r="R27" s="2">
        <v>208508000000</v>
      </c>
      <c r="S27" s="9">
        <f t="shared" si="18"/>
        <v>266.45172866226324</v>
      </c>
      <c r="T27" s="2">
        <f t="shared" si="19"/>
        <v>22391.56348328483</v>
      </c>
      <c r="U27" s="9">
        <f t="shared" si="20"/>
        <v>316.16871166868702</v>
      </c>
      <c r="V27" s="2">
        <v>1706</v>
      </c>
      <c r="W27" s="1">
        <v>58</v>
      </c>
      <c r="X27" s="2">
        <v>1355</v>
      </c>
      <c r="Y27" s="1">
        <v>65</v>
      </c>
      <c r="Z27" s="1">
        <v>228</v>
      </c>
      <c r="AA27" s="17">
        <f t="shared" si="21"/>
        <v>0.39866501649752334</v>
      </c>
      <c r="AB27" s="39">
        <f t="shared" si="0"/>
        <v>47.768000000000001</v>
      </c>
      <c r="AC27" s="2">
        <v>4722</v>
      </c>
      <c r="AD27" s="1">
        <v>158</v>
      </c>
      <c r="AE27" s="1">
        <v>207</v>
      </c>
      <c r="AF27" s="2">
        <v>2774</v>
      </c>
      <c r="AG27" s="1">
        <v>89</v>
      </c>
      <c r="AH27" s="1">
        <v>239</v>
      </c>
      <c r="AI27" s="1">
        <v>433</v>
      </c>
      <c r="AJ27" s="1">
        <v>263</v>
      </c>
      <c r="AK27" s="1">
        <v>558</v>
      </c>
      <c r="AL27" s="1">
        <f t="shared" si="1"/>
        <v>132.21600000000001</v>
      </c>
      <c r="AM27" s="16">
        <f t="shared" si="22"/>
        <v>0.25910180314399583</v>
      </c>
      <c r="AN27" s="16">
        <f t="shared" si="23"/>
        <v>0.11737355838766593</v>
      </c>
      <c r="AO27" s="2">
        <v>6427</v>
      </c>
      <c r="AP27" s="2">
        <v>1233</v>
      </c>
      <c r="AQ27" s="2">
        <v>1222</v>
      </c>
      <c r="AR27" s="1">
        <v>9</v>
      </c>
      <c r="AS27" s="1">
        <v>2</v>
      </c>
      <c r="AT27" s="1">
        <f t="shared" si="2"/>
        <v>34.524000000000001</v>
      </c>
      <c r="AU27" s="1">
        <v>126</v>
      </c>
      <c r="AV27" s="1">
        <v>16</v>
      </c>
      <c r="AW27" s="1">
        <v>9</v>
      </c>
      <c r="AX27" s="1">
        <v>5</v>
      </c>
      <c r="AY27" s="1">
        <v>7</v>
      </c>
      <c r="AZ27" s="1">
        <v>13</v>
      </c>
      <c r="BA27" s="1">
        <v>9</v>
      </c>
      <c r="BB27" s="1">
        <v>67</v>
      </c>
      <c r="BC27" s="1">
        <f t="shared" si="3"/>
        <v>3.528</v>
      </c>
      <c r="BD27" s="1">
        <v>20.100000000000001</v>
      </c>
      <c r="BE27" s="1">
        <v>11.4</v>
      </c>
      <c r="BF27" s="1">
        <v>8.6999999999999993</v>
      </c>
      <c r="BG27" s="1" t="s">
        <v>48</v>
      </c>
      <c r="BH27" s="1">
        <f t="shared" si="4"/>
        <v>5.3265000000000002</v>
      </c>
      <c r="BI27" s="1">
        <v>25.8</v>
      </c>
      <c r="BJ27" s="1">
        <v>17.3</v>
      </c>
      <c r="BK27" s="1">
        <v>8.5</v>
      </c>
      <c r="BL27" s="2">
        <f t="shared" si="5"/>
        <v>2939</v>
      </c>
      <c r="BM27" s="2">
        <f t="shared" si="6"/>
        <v>4848</v>
      </c>
      <c r="BN27" s="9">
        <f t="shared" si="7"/>
        <v>87.618499999999997</v>
      </c>
      <c r="BO27" s="9">
        <f t="shared" si="8"/>
        <v>142.58099999999999</v>
      </c>
      <c r="BP27" s="16">
        <f t="shared" si="9"/>
        <v>0.92641767927369678</v>
      </c>
      <c r="BQ27" s="17">
        <f t="shared" si="10"/>
        <v>13.229501488617567</v>
      </c>
      <c r="BR27" s="5">
        <f t="shared" si="25"/>
        <v>-45.922519999999963</v>
      </c>
      <c r="BS27" s="5">
        <f t="shared" si="26"/>
        <v>-1.1942000000000004</v>
      </c>
      <c r="BT27">
        <f t="shared" si="11"/>
        <v>6.8369999999999997</v>
      </c>
      <c r="BU27" s="5">
        <f t="shared" si="34"/>
        <v>-40.279719999999969</v>
      </c>
      <c r="BV27" s="5">
        <f t="shared" si="27"/>
        <v>38.127039999999994</v>
      </c>
      <c r="BW27" s="5">
        <f t="shared" si="28"/>
        <v>74.997720000000001</v>
      </c>
      <c r="BX27">
        <f t="shared" si="12"/>
        <v>5.3265000000000002</v>
      </c>
      <c r="BY27" s="5">
        <f t="shared" si="35"/>
        <v>118.45125999999999</v>
      </c>
      <c r="BZ27" s="5">
        <f t="shared" si="36"/>
        <v>78.171540000000022</v>
      </c>
      <c r="CA27" s="9">
        <f t="shared" si="45"/>
        <v>101.74460904827136</v>
      </c>
      <c r="CB27" s="9">
        <f t="shared" si="37"/>
        <v>9.4404616103332017</v>
      </c>
      <c r="CC27" s="16">
        <f t="shared" si="41"/>
        <v>23.621662690168829</v>
      </c>
      <c r="CD27" s="16">
        <f t="shared" si="38"/>
        <v>0.24975919389184109</v>
      </c>
      <c r="CE27" s="9">
        <f t="shared" si="39"/>
        <v>244.32560904827136</v>
      </c>
      <c r="CF27" s="9">
        <f t="shared" si="42"/>
        <v>1477.0136542896282</v>
      </c>
      <c r="CG27" s="9">
        <f t="shared" si="29"/>
        <v>22.66996309895077</v>
      </c>
      <c r="CH27" s="9">
        <f t="shared" si="30"/>
        <v>61.464889048271388</v>
      </c>
      <c r="CI27" s="9">
        <f t="shared" si="43"/>
        <v>684.60301428962839</v>
      </c>
      <c r="CJ27" s="9">
        <f t="shared" si="40"/>
        <v>111.24016269016883</v>
      </c>
      <c r="CK27" s="9">
        <f t="shared" si="46"/>
        <v>649.74447614101302</v>
      </c>
      <c r="CL27" s="9">
        <f t="shared" si="31"/>
        <v>1.176176873165538</v>
      </c>
      <c r="CM27" s="9">
        <f t="shared" si="32"/>
        <v>142.07292269016881</v>
      </c>
      <c r="CN27" s="9">
        <f t="shared" si="47"/>
        <v>794.17855614101313</v>
      </c>
      <c r="CO27" s="9">
        <f t="shared" si="33"/>
        <v>203.53781173844021</v>
      </c>
      <c r="CP27" s="9">
        <f t="shared" si="44"/>
        <v>1478.7815704306415</v>
      </c>
      <c r="CR27" s="18" t="s">
        <v>82</v>
      </c>
      <c r="CS27" s="19" t="s">
        <v>79</v>
      </c>
      <c r="CT27" s="19" t="s">
        <v>80</v>
      </c>
      <c r="CU27" s="20">
        <v>-0.01</v>
      </c>
      <c r="CV27" s="28">
        <f>(AQ42-AQ38)/AQ38</f>
        <v>-3.9403990000000076E-2</v>
      </c>
      <c r="CX27" s="18" t="s">
        <v>82</v>
      </c>
      <c r="CY27" s="19" t="s">
        <v>96</v>
      </c>
      <c r="CZ27" s="19" t="s">
        <v>77</v>
      </c>
      <c r="DA27" s="20">
        <v>0</v>
      </c>
      <c r="DB27" s="40">
        <f>((AH42+AG42)-(AH38+AG38))/(AH38+AG38)</f>
        <v>0</v>
      </c>
    </row>
    <row r="28" spans="1:106" x14ac:dyDescent="0.3">
      <c r="A28" s="1">
        <v>2016</v>
      </c>
      <c r="B28" s="2">
        <v>91888000</v>
      </c>
      <c r="C28" s="2">
        <v>9312400</v>
      </c>
      <c r="D28" s="2">
        <v>4814000</v>
      </c>
      <c r="E28" s="2">
        <v>30163800</v>
      </c>
      <c r="F28" s="11">
        <f t="shared" si="13"/>
        <v>0.3879009691158618</v>
      </c>
      <c r="G28" s="2">
        <v>6335200</v>
      </c>
      <c r="H28" s="2">
        <v>8753100</v>
      </c>
      <c r="I28" s="2">
        <v>16305400</v>
      </c>
      <c r="J28" s="2">
        <v>13156700</v>
      </c>
      <c r="K28" s="12">
        <f t="shared" si="14"/>
        <v>0.1691927635233843</v>
      </c>
      <c r="L28" s="2">
        <v>2137400</v>
      </c>
      <c r="M28" s="2">
        <v>14066700</v>
      </c>
      <c r="N28" s="2">
        <f t="shared" si="15"/>
        <v>91888000</v>
      </c>
      <c r="O28" s="2">
        <f t="shared" si="16"/>
        <v>9483900</v>
      </c>
      <c r="P28" s="2">
        <f t="shared" si="17"/>
        <v>77761600</v>
      </c>
      <c r="Q28" s="2">
        <v>25288100000</v>
      </c>
      <c r="R28" s="2">
        <v>212451000000</v>
      </c>
      <c r="S28" s="9">
        <f t="shared" si="18"/>
        <v>275.20568518196063</v>
      </c>
      <c r="T28" s="2">
        <f t="shared" si="19"/>
        <v>22813.775181478461</v>
      </c>
      <c r="U28" s="9">
        <f t="shared" si="20"/>
        <v>325.20035595975389</v>
      </c>
      <c r="V28" s="2">
        <v>1722</v>
      </c>
      <c r="W28" s="1">
        <v>58</v>
      </c>
      <c r="X28" s="2">
        <v>1367</v>
      </c>
      <c r="Y28" s="1">
        <v>65</v>
      </c>
      <c r="Z28" s="1">
        <v>232</v>
      </c>
      <c r="AA28" s="17">
        <f t="shared" si="21"/>
        <v>0.40217403456166562</v>
      </c>
      <c r="AB28" s="39">
        <f t="shared" si="0"/>
        <v>48.216000000000001</v>
      </c>
      <c r="AC28" s="2">
        <v>4919</v>
      </c>
      <c r="AD28" s="1">
        <v>164</v>
      </c>
      <c r="AE28" s="1">
        <v>210</v>
      </c>
      <c r="AF28" s="2">
        <v>2856</v>
      </c>
      <c r="AG28" s="1">
        <v>91</v>
      </c>
      <c r="AH28" s="1">
        <v>250</v>
      </c>
      <c r="AI28" s="1">
        <v>472</v>
      </c>
      <c r="AJ28" s="1">
        <v>289</v>
      </c>
      <c r="AK28" s="1">
        <v>587</v>
      </c>
      <c r="AL28" s="1">
        <f t="shared" si="1"/>
        <v>137.732</v>
      </c>
      <c r="AM28" s="16">
        <f t="shared" si="22"/>
        <v>0.25940556343188109</v>
      </c>
      <c r="AN28" s="16">
        <f t="shared" si="23"/>
        <v>0.12223575654094049</v>
      </c>
      <c r="AO28" s="2">
        <v>6641</v>
      </c>
      <c r="AP28" s="2">
        <v>1259</v>
      </c>
      <c r="AQ28" s="2">
        <v>1248</v>
      </c>
      <c r="AR28" s="1">
        <v>9</v>
      </c>
      <c r="AS28" s="1">
        <v>2</v>
      </c>
      <c r="AT28" s="1">
        <f t="shared" si="2"/>
        <v>35.251999999999995</v>
      </c>
      <c r="AU28" s="1">
        <v>132</v>
      </c>
      <c r="AV28" s="1">
        <v>17</v>
      </c>
      <c r="AW28" s="1">
        <v>9</v>
      </c>
      <c r="AX28" s="1">
        <v>5</v>
      </c>
      <c r="AY28" s="1">
        <v>7</v>
      </c>
      <c r="AZ28" s="1">
        <v>14</v>
      </c>
      <c r="BA28" s="1">
        <v>10</v>
      </c>
      <c r="BB28" s="1">
        <v>69</v>
      </c>
      <c r="BC28" s="1">
        <f t="shared" si="3"/>
        <v>3.6960000000000002</v>
      </c>
      <c r="BD28" s="1">
        <v>20.3</v>
      </c>
      <c r="BE28" s="1">
        <v>11.5</v>
      </c>
      <c r="BF28" s="1">
        <v>8.8000000000000007</v>
      </c>
      <c r="BG28" s="1" t="s">
        <v>48</v>
      </c>
      <c r="BH28" s="1">
        <f t="shared" si="4"/>
        <v>5.3795000000000002</v>
      </c>
      <c r="BI28" s="1">
        <v>27.2</v>
      </c>
      <c r="BJ28" s="1">
        <v>18.399999999999999</v>
      </c>
      <c r="BK28" s="1">
        <v>8.8000000000000007</v>
      </c>
      <c r="BL28" s="2">
        <f t="shared" si="5"/>
        <v>2981</v>
      </c>
      <c r="BM28" s="2">
        <f t="shared" si="6"/>
        <v>5051</v>
      </c>
      <c r="BN28" s="9">
        <f t="shared" si="7"/>
        <v>88.847499999999997</v>
      </c>
      <c r="BO28" s="9">
        <f t="shared" si="8"/>
        <v>148.636</v>
      </c>
      <c r="BP28" s="16">
        <f t="shared" si="9"/>
        <v>0.92197718744557555</v>
      </c>
      <c r="BQ28" s="17">
        <f t="shared" si="10"/>
        <v>12.958106711061724</v>
      </c>
      <c r="BR28" s="5">
        <f t="shared" si="25"/>
        <v>-17.841040000000021</v>
      </c>
      <c r="BS28" s="5">
        <f t="shared" si="26"/>
        <v>-0.10640000000000427</v>
      </c>
      <c r="BT28">
        <f t="shared" si="11"/>
        <v>7.2080000000000002</v>
      </c>
      <c r="BU28" s="5">
        <f t="shared" si="34"/>
        <v>-10.739440000000025</v>
      </c>
      <c r="BV28" s="5">
        <f t="shared" si="27"/>
        <v>42.179480000000012</v>
      </c>
      <c r="BW28" s="5">
        <f t="shared" si="28"/>
        <v>76.986560000000011</v>
      </c>
      <c r="BX28">
        <f t="shared" si="12"/>
        <v>5.3795000000000002</v>
      </c>
      <c r="BY28" s="5">
        <f t="shared" si="35"/>
        <v>124.54554000000002</v>
      </c>
      <c r="BZ28" s="5">
        <f t="shared" si="36"/>
        <v>113.80609999999999</v>
      </c>
      <c r="CA28" s="9">
        <f t="shared" si="45"/>
        <v>101.74460904827136</v>
      </c>
      <c r="CB28" s="9">
        <f t="shared" si="37"/>
        <v>8.8701088654347302</v>
      </c>
      <c r="CC28" s="16">
        <f t="shared" si="41"/>
        <v>23.621662690168829</v>
      </c>
      <c r="CD28" s="16">
        <f t="shared" si="38"/>
        <v>0.24512376971631109</v>
      </c>
      <c r="CE28" s="9">
        <f t="shared" si="39"/>
        <v>250.38060904827137</v>
      </c>
      <c r="CF28" s="9">
        <f t="shared" si="42"/>
        <v>1727.3942633378997</v>
      </c>
      <c r="CG28" s="9">
        <f t="shared" si="29"/>
        <v>21.828215576496454</v>
      </c>
      <c r="CH28" s="9">
        <f t="shared" si="30"/>
        <v>91.005169048271327</v>
      </c>
      <c r="CI28" s="9">
        <f t="shared" si="43"/>
        <v>775.60818333789973</v>
      </c>
      <c r="CJ28" s="9">
        <f t="shared" si="40"/>
        <v>112.46916269016883</v>
      </c>
      <c r="CK28" s="9">
        <f t="shared" si="46"/>
        <v>762.21363883118181</v>
      </c>
      <c r="CL28" s="9">
        <f t="shared" si="31"/>
        <v>1.1671009571618867</v>
      </c>
      <c r="CM28" s="9">
        <f t="shared" si="32"/>
        <v>148.16720269016884</v>
      </c>
      <c r="CN28" s="9">
        <f t="shared" si="47"/>
        <v>942.34575883118191</v>
      </c>
      <c r="CO28" s="9">
        <f t="shared" si="33"/>
        <v>239.17237173844018</v>
      </c>
      <c r="CP28" s="9">
        <f t="shared" si="44"/>
        <v>1717.9539421690818</v>
      </c>
      <c r="CR28" s="18" t="s">
        <v>82</v>
      </c>
      <c r="CS28" s="19" t="s">
        <v>75</v>
      </c>
      <c r="CT28" s="19" t="s">
        <v>81</v>
      </c>
      <c r="CU28" s="20">
        <v>0</v>
      </c>
      <c r="CV28" s="28" t="s">
        <v>92</v>
      </c>
      <c r="CX28" s="18" t="s">
        <v>82</v>
      </c>
      <c r="CY28" s="19" t="s">
        <v>97</v>
      </c>
      <c r="CZ28" s="19" t="s">
        <v>77</v>
      </c>
      <c r="DA28" s="20">
        <v>0</v>
      </c>
      <c r="DB28" s="40">
        <f>((AJ42+AI42)-(AJ38+AI38))/(AI38+AJ38)</f>
        <v>0</v>
      </c>
    </row>
    <row r="29" spans="1:106" x14ac:dyDescent="0.3">
      <c r="A29" s="1">
        <v>2017</v>
      </c>
      <c r="B29" s="2">
        <v>93624600</v>
      </c>
      <c r="C29" s="2">
        <v>9368500</v>
      </c>
      <c r="D29" s="2">
        <v>4754000</v>
      </c>
      <c r="E29" s="2">
        <v>31170700</v>
      </c>
      <c r="F29" s="11">
        <f t="shared" si="13"/>
        <v>0.39207392005997327</v>
      </c>
      <c r="G29" s="2">
        <v>6363200</v>
      </c>
      <c r="H29" s="2">
        <v>8994800</v>
      </c>
      <c r="I29" s="2">
        <v>16373500</v>
      </c>
      <c r="J29" s="2">
        <v>13108400</v>
      </c>
      <c r="K29" s="12">
        <f t="shared" si="14"/>
        <v>0.16488117923929052</v>
      </c>
      <c r="L29" s="2">
        <v>2243600</v>
      </c>
      <c r="M29" s="2">
        <v>14356300</v>
      </c>
      <c r="N29" s="2">
        <f t="shared" si="15"/>
        <v>93624600</v>
      </c>
      <c r="O29" s="2">
        <f t="shared" si="16"/>
        <v>9628300</v>
      </c>
      <c r="P29" s="2">
        <f t="shared" si="17"/>
        <v>79502100</v>
      </c>
      <c r="Q29" s="2">
        <v>26250700000</v>
      </c>
      <c r="R29" s="2">
        <v>215527000000</v>
      </c>
      <c r="S29" s="9">
        <f t="shared" si="18"/>
        <v>280.38250630710303</v>
      </c>
      <c r="T29" s="2">
        <f t="shared" si="19"/>
        <v>23005.497144686982</v>
      </c>
      <c r="U29" s="9">
        <f t="shared" si="20"/>
        <v>330.18876230942328</v>
      </c>
      <c r="V29" s="2">
        <v>1730</v>
      </c>
      <c r="W29" s="1">
        <v>58</v>
      </c>
      <c r="X29" s="2">
        <v>1377</v>
      </c>
      <c r="Y29" s="1">
        <v>65</v>
      </c>
      <c r="Z29" s="1">
        <v>230</v>
      </c>
      <c r="AA29" s="17">
        <f t="shared" si="21"/>
        <v>0.40269015741324943</v>
      </c>
      <c r="AB29" s="39">
        <f t="shared" si="0"/>
        <v>48.44</v>
      </c>
      <c r="AC29" s="2">
        <v>5052</v>
      </c>
      <c r="AD29" s="1">
        <v>168</v>
      </c>
      <c r="AE29" s="1">
        <v>220</v>
      </c>
      <c r="AF29" s="2">
        <v>2954</v>
      </c>
      <c r="AG29" s="1">
        <v>90</v>
      </c>
      <c r="AH29" s="1">
        <v>251</v>
      </c>
      <c r="AI29" s="1">
        <v>461</v>
      </c>
      <c r="AJ29" s="1">
        <v>286</v>
      </c>
      <c r="AK29" s="1">
        <v>621</v>
      </c>
      <c r="AL29" s="1">
        <f t="shared" si="1"/>
        <v>141.45599999999999</v>
      </c>
      <c r="AM29" s="16">
        <f t="shared" si="22"/>
        <v>0.25963968357885792</v>
      </c>
      <c r="AN29" s="16">
        <f t="shared" si="23"/>
        <v>0.12979233644180058</v>
      </c>
      <c r="AO29" s="2">
        <v>6783</v>
      </c>
      <c r="AP29" s="2">
        <v>1270</v>
      </c>
      <c r="AQ29" s="2">
        <v>1259</v>
      </c>
      <c r="AR29" s="1">
        <v>9</v>
      </c>
      <c r="AS29" s="1">
        <v>2</v>
      </c>
      <c r="AT29" s="1">
        <f t="shared" si="2"/>
        <v>35.56</v>
      </c>
      <c r="AU29" s="1">
        <v>136</v>
      </c>
      <c r="AV29" s="1">
        <v>18</v>
      </c>
      <c r="AW29" s="1">
        <v>9</v>
      </c>
      <c r="AX29" s="1">
        <v>5</v>
      </c>
      <c r="AY29" s="1">
        <v>7</v>
      </c>
      <c r="AZ29" s="1">
        <v>14</v>
      </c>
      <c r="BA29" s="1">
        <v>10</v>
      </c>
      <c r="BB29" s="1">
        <v>71</v>
      </c>
      <c r="BC29" s="1">
        <f t="shared" si="3"/>
        <v>3.8080000000000003</v>
      </c>
      <c r="BD29" s="1">
        <v>20.399999999999999</v>
      </c>
      <c r="BE29" s="1">
        <v>11.6</v>
      </c>
      <c r="BF29" s="1">
        <v>8.8000000000000007</v>
      </c>
      <c r="BG29" s="1" t="s">
        <v>48</v>
      </c>
      <c r="BH29" s="1">
        <f t="shared" si="4"/>
        <v>5.4059999999999997</v>
      </c>
      <c r="BI29" s="1">
        <v>28.7</v>
      </c>
      <c r="BJ29" s="1">
        <v>19.3</v>
      </c>
      <c r="BK29" s="1">
        <v>9.4</v>
      </c>
      <c r="BL29" s="2">
        <f t="shared" si="5"/>
        <v>3000</v>
      </c>
      <c r="BM29" s="2">
        <f t="shared" si="6"/>
        <v>5188</v>
      </c>
      <c r="BN29" s="9">
        <f t="shared" si="7"/>
        <v>89.406000000000006</v>
      </c>
      <c r="BO29" s="9">
        <f t="shared" si="8"/>
        <v>152.86950000000002</v>
      </c>
      <c r="BP29" s="16">
        <f t="shared" si="9"/>
        <v>0.91453161654920267</v>
      </c>
      <c r="BQ29" s="17">
        <f t="shared" si="10"/>
        <v>12.838482672462067</v>
      </c>
      <c r="BR29" s="5">
        <f t="shared" si="25"/>
        <v>14.855680000000007</v>
      </c>
      <c r="BS29" s="5">
        <f t="shared" si="26"/>
        <v>0.61879999999999846</v>
      </c>
      <c r="BT29">
        <f t="shared" si="11"/>
        <v>7.6055000000000001</v>
      </c>
      <c r="BU29" s="5">
        <f t="shared" si="34"/>
        <v>23.079980000000006</v>
      </c>
      <c r="BV29" s="5">
        <f t="shared" si="27"/>
        <v>43.908199999999994</v>
      </c>
      <c r="BW29" s="5">
        <f t="shared" si="28"/>
        <v>74.811800000000005</v>
      </c>
      <c r="BX29">
        <f t="shared" si="12"/>
        <v>5.4059999999999997</v>
      </c>
      <c r="BY29" s="5">
        <f t="shared" si="35"/>
        <v>124.126</v>
      </c>
      <c r="BZ29" s="5">
        <f t="shared" si="36"/>
        <v>147.20598000000001</v>
      </c>
      <c r="CA29" s="9">
        <f t="shared" si="45"/>
        <v>101.74460904827136</v>
      </c>
      <c r="CB29" s="9">
        <f t="shared" si="37"/>
        <v>8.5448464231430012</v>
      </c>
      <c r="CC29" s="16">
        <f t="shared" si="41"/>
        <v>23.621662690168829</v>
      </c>
      <c r="CD29" s="16">
        <f t="shared" si="38"/>
        <v>0.24162536480348173</v>
      </c>
      <c r="CE29" s="9">
        <f t="shared" si="39"/>
        <v>254.61410904827136</v>
      </c>
      <c r="CF29" s="9">
        <f t="shared" si="42"/>
        <v>1982.008372386171</v>
      </c>
      <c r="CG29" s="9">
        <f t="shared" si="29"/>
        <v>21.383329095605067</v>
      </c>
      <c r="CH29" s="9">
        <f t="shared" si="30"/>
        <v>124.82458904827136</v>
      </c>
      <c r="CI29" s="9">
        <f t="shared" si="43"/>
        <v>900.43277238617111</v>
      </c>
      <c r="CJ29" s="9">
        <f t="shared" si="40"/>
        <v>113.02766269016884</v>
      </c>
      <c r="CK29" s="9">
        <f t="shared" si="46"/>
        <v>875.24130152135069</v>
      </c>
      <c r="CL29" s="9">
        <f t="shared" si="31"/>
        <v>1.1561569813526844</v>
      </c>
      <c r="CM29" s="9">
        <f t="shared" si="32"/>
        <v>147.74766269016882</v>
      </c>
      <c r="CN29" s="9">
        <f t="shared" si="47"/>
        <v>1090.0934215213508</v>
      </c>
      <c r="CO29" s="9">
        <f t="shared" si="33"/>
        <v>272.57225173844017</v>
      </c>
      <c r="CP29" s="9">
        <f t="shared" si="44"/>
        <v>1990.5261939075219</v>
      </c>
      <c r="CR29" s="18" t="s">
        <v>82</v>
      </c>
      <c r="CS29" s="19" t="s">
        <v>78</v>
      </c>
      <c r="CT29" s="19" t="s">
        <v>81</v>
      </c>
      <c r="CU29" s="20">
        <v>0</v>
      </c>
      <c r="CV29" s="28">
        <f>(BF42-BF38)/BF38</f>
        <v>0</v>
      </c>
      <c r="CX29" s="18" t="s">
        <v>82</v>
      </c>
      <c r="CY29" s="19" t="s">
        <v>98</v>
      </c>
      <c r="CZ29" s="19" t="s">
        <v>77</v>
      </c>
      <c r="DA29" s="20">
        <v>-5.0000000000000001E-3</v>
      </c>
      <c r="DB29" s="40">
        <f>(AK42-AK38)/AK38</f>
        <v>-1.9850499374999969E-2</v>
      </c>
    </row>
    <row r="30" spans="1:106" x14ac:dyDescent="0.3">
      <c r="A30" s="1">
        <v>2018</v>
      </c>
      <c r="B30" s="2">
        <v>94298000</v>
      </c>
      <c r="C30" s="2">
        <v>9432100</v>
      </c>
      <c r="D30" s="2">
        <v>4768300</v>
      </c>
      <c r="E30" s="2">
        <v>31466200</v>
      </c>
      <c r="F30" s="11">
        <f t="shared" si="13"/>
        <v>0.39284822516529833</v>
      </c>
      <c r="G30" s="2">
        <v>6108200</v>
      </c>
      <c r="H30" s="2">
        <v>9341300</v>
      </c>
      <c r="I30" s="2">
        <v>16528200</v>
      </c>
      <c r="J30" s="2">
        <v>14146000</v>
      </c>
      <c r="K30" s="12">
        <f t="shared" si="14"/>
        <v>0.17660953636563392</v>
      </c>
      <c r="L30" s="2">
        <v>2252300</v>
      </c>
      <c r="M30" s="2">
        <v>14401400</v>
      </c>
      <c r="N30" s="2">
        <f t="shared" si="15"/>
        <v>94298000</v>
      </c>
      <c r="O30" s="2">
        <f t="shared" si="16"/>
        <v>8490400</v>
      </c>
      <c r="P30" s="2">
        <f t="shared" si="17"/>
        <v>80097600</v>
      </c>
      <c r="Q30" s="2">
        <v>26938700000</v>
      </c>
      <c r="R30" s="2">
        <v>217568000000</v>
      </c>
      <c r="S30" s="9">
        <f t="shared" si="18"/>
        <v>285.67626036607351</v>
      </c>
      <c r="T30" s="2">
        <f t="shared" si="19"/>
        <v>23066.761378696156</v>
      </c>
      <c r="U30" s="9">
        <f t="shared" si="20"/>
        <v>336.32343540880129</v>
      </c>
      <c r="V30" s="2">
        <v>1744</v>
      </c>
      <c r="W30" s="1">
        <v>58</v>
      </c>
      <c r="X30" s="2">
        <v>1390</v>
      </c>
      <c r="Y30" s="1">
        <v>65</v>
      </c>
      <c r="Z30" s="1">
        <v>231</v>
      </c>
      <c r="AA30" s="17">
        <f t="shared" si="21"/>
        <v>0.40375093331094791</v>
      </c>
      <c r="AB30" s="39">
        <f t="shared" si="0"/>
        <v>48.832000000000001</v>
      </c>
      <c r="AC30" s="2">
        <v>5125</v>
      </c>
      <c r="AD30" s="1">
        <v>169</v>
      </c>
      <c r="AE30" s="1">
        <v>221</v>
      </c>
      <c r="AF30" s="2">
        <v>2978</v>
      </c>
      <c r="AG30" s="1">
        <v>86</v>
      </c>
      <c r="AH30" s="1">
        <v>241</v>
      </c>
      <c r="AI30" s="1">
        <v>465</v>
      </c>
      <c r="AJ30" s="1">
        <v>297</v>
      </c>
      <c r="AK30" s="1">
        <v>667</v>
      </c>
      <c r="AL30" s="1">
        <f t="shared" si="1"/>
        <v>143.5</v>
      </c>
      <c r="AM30" s="16">
        <f t="shared" si="22"/>
        <v>0.25929105229068145</v>
      </c>
      <c r="AN30" s="16">
        <f t="shared" si="23"/>
        <v>0.12918120035868602</v>
      </c>
      <c r="AO30" s="2">
        <v>6869</v>
      </c>
      <c r="AP30" s="2">
        <v>1292</v>
      </c>
      <c r="AQ30" s="2">
        <v>1281</v>
      </c>
      <c r="AR30" s="1">
        <v>9</v>
      </c>
      <c r="AS30" s="1">
        <v>2</v>
      </c>
      <c r="AT30" s="1">
        <f t="shared" si="2"/>
        <v>36.176000000000002</v>
      </c>
      <c r="AU30" s="1">
        <v>135</v>
      </c>
      <c r="AV30" s="1">
        <v>20</v>
      </c>
      <c r="AW30" s="1">
        <v>10</v>
      </c>
      <c r="AX30" s="1">
        <v>5</v>
      </c>
      <c r="AY30" s="1">
        <v>7</v>
      </c>
      <c r="AZ30" s="1">
        <v>13</v>
      </c>
      <c r="BA30" s="1">
        <v>10</v>
      </c>
      <c r="BB30" s="1">
        <v>70</v>
      </c>
      <c r="BC30" s="1">
        <f t="shared" si="3"/>
        <v>3.7800000000000002</v>
      </c>
      <c r="BD30" s="1">
        <v>20.6</v>
      </c>
      <c r="BE30" s="1">
        <v>11.8</v>
      </c>
      <c r="BF30" s="1">
        <v>8.8000000000000007</v>
      </c>
      <c r="BG30" s="1" t="s">
        <v>48</v>
      </c>
      <c r="BH30" s="1">
        <f t="shared" si="4"/>
        <v>5.4589999999999996</v>
      </c>
      <c r="BI30" s="1">
        <v>31</v>
      </c>
      <c r="BJ30" s="1">
        <v>20.8</v>
      </c>
      <c r="BK30" s="1">
        <v>10.1</v>
      </c>
      <c r="BL30" s="2">
        <f t="shared" si="5"/>
        <v>3036</v>
      </c>
      <c r="BM30" s="2">
        <f t="shared" si="6"/>
        <v>5260</v>
      </c>
      <c r="BN30" s="9">
        <f t="shared" si="7"/>
        <v>90.466999999999999</v>
      </c>
      <c r="BO30" s="9">
        <f t="shared" si="8"/>
        <v>155.495</v>
      </c>
      <c r="BP30" s="16">
        <f t="shared" si="9"/>
        <v>0.91670354804015286</v>
      </c>
      <c r="BQ30" s="17">
        <f t="shared" si="10"/>
        <v>12.725461395687246</v>
      </c>
      <c r="BR30" s="5">
        <f t="shared" si="25"/>
        <v>32.325999999999908</v>
      </c>
      <c r="BS30" s="5">
        <f t="shared" si="26"/>
        <v>0.14000000000000057</v>
      </c>
      <c r="BT30">
        <f t="shared" si="11"/>
        <v>8.2149999999999999</v>
      </c>
      <c r="BU30" s="5">
        <f t="shared" si="34"/>
        <v>40.680999999999912</v>
      </c>
      <c r="BV30" s="5">
        <f t="shared" si="27"/>
        <v>47.11196000000001</v>
      </c>
      <c r="BW30" s="5">
        <f t="shared" si="28"/>
        <v>73.318279999999987</v>
      </c>
      <c r="BX30">
        <f t="shared" si="12"/>
        <v>5.4589999999999996</v>
      </c>
      <c r="BY30" s="5">
        <f t="shared" si="35"/>
        <v>125.88924</v>
      </c>
      <c r="BZ30" s="5">
        <f t="shared" si="36"/>
        <v>166.5702399999999</v>
      </c>
      <c r="CA30" s="9">
        <f t="shared" si="45"/>
        <v>101.74460904827136</v>
      </c>
      <c r="CB30" s="9">
        <f t="shared" si="37"/>
        <v>8.3266156124831561</v>
      </c>
      <c r="CC30" s="16">
        <f t="shared" si="41"/>
        <v>23.621662690168829</v>
      </c>
      <c r="CD30" s="16">
        <f t="shared" si="38"/>
        <v>0.23935868326224446</v>
      </c>
      <c r="CE30" s="9">
        <f t="shared" si="39"/>
        <v>257.23960904827135</v>
      </c>
      <c r="CF30" s="9">
        <f t="shared" si="42"/>
        <v>2239.2479814344424</v>
      </c>
      <c r="CG30" s="9">
        <f t="shared" si="29"/>
        <v>21.0520770081704</v>
      </c>
      <c r="CH30" s="9">
        <f t="shared" si="30"/>
        <v>142.42560904827127</v>
      </c>
      <c r="CI30" s="9">
        <f t="shared" si="43"/>
        <v>1042.8583814344424</v>
      </c>
      <c r="CJ30" s="9">
        <f t="shared" si="40"/>
        <v>114.08866269016883</v>
      </c>
      <c r="CK30" s="9">
        <f t="shared" si="46"/>
        <v>989.3299642115195</v>
      </c>
      <c r="CL30" s="9">
        <f t="shared" si="31"/>
        <v>1.1560622313023974</v>
      </c>
      <c r="CM30" s="9">
        <f t="shared" si="32"/>
        <v>149.51090269016882</v>
      </c>
      <c r="CN30" s="9">
        <f t="shared" si="47"/>
        <v>1239.6043242115197</v>
      </c>
      <c r="CO30" s="9">
        <f t="shared" si="33"/>
        <v>291.93651173844012</v>
      </c>
      <c r="CP30" s="9">
        <f t="shared" si="44"/>
        <v>2282.4627056459622</v>
      </c>
      <c r="CR30" s="18" t="s">
        <v>82</v>
      </c>
      <c r="CS30" s="19" t="s">
        <v>79</v>
      </c>
      <c r="CT30" s="19" t="s">
        <v>81</v>
      </c>
      <c r="CU30" s="20">
        <v>0</v>
      </c>
      <c r="CV30" s="28">
        <f>(BE42-BE38)/BE38</f>
        <v>0</v>
      </c>
      <c r="CX30" s="18" t="s">
        <v>82</v>
      </c>
      <c r="CY30" s="19" t="s">
        <v>18</v>
      </c>
      <c r="CZ30" s="19" t="s">
        <v>77</v>
      </c>
      <c r="DA30" s="20">
        <v>0</v>
      </c>
      <c r="DB30" s="40">
        <f>(AE42-AE38)/AE38</f>
        <v>0</v>
      </c>
    </row>
    <row r="31" spans="1:106" x14ac:dyDescent="0.3">
      <c r="A31" s="1">
        <v>2019</v>
      </c>
      <c r="B31" s="2">
        <v>94804700</v>
      </c>
      <c r="C31" s="2">
        <v>9353400</v>
      </c>
      <c r="D31" s="2">
        <v>4701500</v>
      </c>
      <c r="E31" s="2">
        <v>31690700</v>
      </c>
      <c r="F31" s="11">
        <f t="shared" si="13"/>
        <v>0.39245546118999675</v>
      </c>
      <c r="G31" s="2">
        <v>5884900</v>
      </c>
      <c r="H31" s="2">
        <v>9623600</v>
      </c>
      <c r="I31" s="2">
        <v>16757700</v>
      </c>
      <c r="J31" s="2">
        <v>14367900</v>
      </c>
      <c r="K31" s="12">
        <f t="shared" si="14"/>
        <v>0.17793109085099901</v>
      </c>
      <c r="L31" s="2">
        <v>2253000</v>
      </c>
      <c r="M31" s="2">
        <v>14539900</v>
      </c>
      <c r="N31" s="2">
        <f t="shared" si="15"/>
        <v>94804700</v>
      </c>
      <c r="O31" s="2">
        <f t="shared" si="16"/>
        <v>8274700</v>
      </c>
      <c r="P31" s="2">
        <f t="shared" si="17"/>
        <v>80749800</v>
      </c>
      <c r="Q31" s="2">
        <v>27224300000</v>
      </c>
      <c r="R31" s="2">
        <v>218441000000</v>
      </c>
      <c r="S31" s="9">
        <f t="shared" si="18"/>
        <v>287.16192340675093</v>
      </c>
      <c r="T31" s="2">
        <f t="shared" si="19"/>
        <v>23354.181367203371</v>
      </c>
      <c r="U31" s="9">
        <f t="shared" si="20"/>
        <v>337.14386908698225</v>
      </c>
      <c r="V31" s="2">
        <v>1729</v>
      </c>
      <c r="W31" s="1">
        <v>59</v>
      </c>
      <c r="X31" s="2">
        <v>1379</v>
      </c>
      <c r="Y31" s="2">
        <v>64</v>
      </c>
      <c r="Z31" s="2">
        <v>227</v>
      </c>
      <c r="AA31" s="17">
        <f t="shared" si="21"/>
        <v>0.40392607947706949</v>
      </c>
      <c r="AB31" s="39">
        <f t="shared" si="0"/>
        <v>48.412000000000006</v>
      </c>
      <c r="AC31" s="2">
        <v>5162</v>
      </c>
      <c r="AD31" s="2">
        <v>171</v>
      </c>
      <c r="AE31" s="2">
        <v>221</v>
      </c>
      <c r="AF31" s="43">
        <v>3000</v>
      </c>
      <c r="AG31" s="2">
        <v>83</v>
      </c>
      <c r="AH31" s="2">
        <v>232</v>
      </c>
      <c r="AI31" s="2">
        <v>472</v>
      </c>
      <c r="AJ31" s="2">
        <v>306</v>
      </c>
      <c r="AK31" s="2">
        <v>678</v>
      </c>
      <c r="AL31" s="39">
        <f t="shared" si="1"/>
        <v>144.536</v>
      </c>
      <c r="AM31" s="16">
        <f t="shared" si="22"/>
        <v>0.25935615439834969</v>
      </c>
      <c r="AN31" s="16">
        <f t="shared" si="23"/>
        <v>0.12928362854525313</v>
      </c>
      <c r="AO31" s="2">
        <v>6891</v>
      </c>
      <c r="AP31" s="2">
        <v>1281</v>
      </c>
      <c r="AQ31" s="2">
        <v>1270</v>
      </c>
      <c r="AR31" s="2">
        <v>9</v>
      </c>
      <c r="AS31" s="2">
        <v>2</v>
      </c>
      <c r="AT31" s="1">
        <f t="shared" si="2"/>
        <v>35.867999999999995</v>
      </c>
      <c r="AU31" s="2">
        <v>136</v>
      </c>
      <c r="AV31" s="2">
        <v>20</v>
      </c>
      <c r="AW31" s="2">
        <v>10</v>
      </c>
      <c r="AX31" s="2">
        <v>5</v>
      </c>
      <c r="AY31" s="2">
        <v>7</v>
      </c>
      <c r="AZ31" s="2">
        <v>13</v>
      </c>
      <c r="BA31" s="2">
        <v>10</v>
      </c>
      <c r="BB31" s="2">
        <v>70</v>
      </c>
      <c r="BC31" s="1">
        <f t="shared" si="3"/>
        <v>3.8080000000000003</v>
      </c>
      <c r="BD31" s="2">
        <v>20.3</v>
      </c>
      <c r="BE31" s="2">
        <v>11.7</v>
      </c>
      <c r="BF31" s="2">
        <v>8.6999999999999993</v>
      </c>
      <c r="BG31" s="1" t="s">
        <v>48</v>
      </c>
      <c r="BH31" s="1">
        <f t="shared" si="4"/>
        <v>5.3795000000000002</v>
      </c>
      <c r="BI31" s="2">
        <v>31.5</v>
      </c>
      <c r="BJ31" s="2">
        <v>21.2</v>
      </c>
      <c r="BK31" s="2">
        <v>10.3</v>
      </c>
      <c r="BL31" s="2">
        <f t="shared" si="5"/>
        <v>3010</v>
      </c>
      <c r="BM31" s="2">
        <f t="shared" si="6"/>
        <v>5298</v>
      </c>
      <c r="BN31" s="9">
        <f t="shared" si="7"/>
        <v>89.659500000000008</v>
      </c>
      <c r="BO31" s="9">
        <f t="shared" si="8"/>
        <v>156.69149999999999</v>
      </c>
      <c r="BP31" s="16">
        <f t="shared" si="9"/>
        <v>0.9048902307259169</v>
      </c>
      <c r="BQ31" s="17">
        <f t="shared" si="10"/>
        <v>12.688855718237015</v>
      </c>
      <c r="BR31" s="5">
        <f t="shared" si="25"/>
        <v>40.827080000000024</v>
      </c>
      <c r="BS31" s="5">
        <f t="shared" si="26"/>
        <v>0.26179999999999737</v>
      </c>
      <c r="BT31">
        <f t="shared" si="11"/>
        <v>8.3475000000000001</v>
      </c>
      <c r="BU31" s="5">
        <f t="shared" si="34"/>
        <v>49.436380000000014</v>
      </c>
      <c r="BV31" s="5">
        <f t="shared" si="27"/>
        <v>40.449360000000013</v>
      </c>
      <c r="BW31" s="5">
        <f t="shared" si="28"/>
        <v>65.021040000000013</v>
      </c>
      <c r="BX31">
        <f t="shared" si="12"/>
        <v>5.3795000000000002</v>
      </c>
      <c r="BY31" s="5">
        <f t="shared" si="35"/>
        <v>110.84990000000002</v>
      </c>
      <c r="BZ31" s="5">
        <f t="shared" si="36"/>
        <v>160.28628000000003</v>
      </c>
      <c r="CA31" s="9">
        <f t="shared" si="45"/>
        <v>101.74460904827136</v>
      </c>
      <c r="CB31" s="9">
        <f t="shared" si="37"/>
        <v>8.2392641867743155</v>
      </c>
      <c r="CC31" s="16">
        <f t="shared" si="41"/>
        <v>23.621662690168829</v>
      </c>
      <c r="CD31" s="16">
        <f t="shared" si="38"/>
        <v>0.23840208568904192</v>
      </c>
      <c r="CE31" s="9">
        <f t="shared" si="39"/>
        <v>258.43610904827136</v>
      </c>
      <c r="CF31" s="9">
        <f t="shared" si="42"/>
        <v>2497.6840904827136</v>
      </c>
      <c r="CG31" s="9">
        <f t="shared" si="29"/>
        <v>20.928119905011332</v>
      </c>
      <c r="CH31" s="9">
        <f t="shared" si="30"/>
        <v>151.18098904827139</v>
      </c>
      <c r="CI31" s="9">
        <f t="shared" si="43"/>
        <v>1194.0393704827138</v>
      </c>
      <c r="CJ31" s="9">
        <f t="shared" si="40"/>
        <v>113.28116269016884</v>
      </c>
      <c r="CK31" s="9">
        <f t="shared" si="46"/>
        <v>1102.6111269016883</v>
      </c>
      <c r="CL31" s="9">
        <f t="shared" si="31"/>
        <v>1.1432923164149589</v>
      </c>
      <c r="CM31" s="9">
        <f t="shared" si="32"/>
        <v>134.47156269016884</v>
      </c>
      <c r="CN31" s="9">
        <f t="shared" si="47"/>
        <v>1374.0758869016886</v>
      </c>
      <c r="CO31" s="9">
        <f t="shared" si="33"/>
        <v>285.65255173844025</v>
      </c>
      <c r="CP31" s="9">
        <f t="shared" si="44"/>
        <v>2568.1152573844024</v>
      </c>
      <c r="CR31" s="18" t="s">
        <v>83</v>
      </c>
      <c r="CS31" s="19" t="s">
        <v>75</v>
      </c>
      <c r="CT31" s="19" t="s">
        <v>77</v>
      </c>
      <c r="CU31" s="20">
        <v>0</v>
      </c>
      <c r="CV31" s="28">
        <f>(W52-W43)/W43</f>
        <v>0</v>
      </c>
      <c r="CX31" s="18" t="s">
        <v>82</v>
      </c>
      <c r="CY31" s="19" t="s">
        <v>95</v>
      </c>
      <c r="CZ31" s="19" t="s">
        <v>80</v>
      </c>
      <c r="DA31" s="20">
        <v>0</v>
      </c>
      <c r="DB31" s="40">
        <f>(BB42-BB38)/BB38</f>
        <v>0</v>
      </c>
    </row>
    <row r="32" spans="1:106" x14ac:dyDescent="0.3">
      <c r="A32" s="1">
        <v>2020</v>
      </c>
      <c r="B32" s="2">
        <v>93793300</v>
      </c>
      <c r="C32" s="2">
        <v>9342600</v>
      </c>
      <c r="D32" s="2">
        <v>4684000</v>
      </c>
      <c r="E32" s="2">
        <v>31338700</v>
      </c>
      <c r="F32" s="11">
        <f t="shared" si="13"/>
        <v>0.39287948479754081</v>
      </c>
      <c r="G32" s="2">
        <v>5808900</v>
      </c>
      <c r="H32" s="2">
        <v>9531500</v>
      </c>
      <c r="I32" s="2">
        <v>16541200</v>
      </c>
      <c r="J32" s="2">
        <v>14657700</v>
      </c>
      <c r="K32" s="12">
        <f t="shared" si="14"/>
        <v>0.18375713173542343</v>
      </c>
      <c r="L32" s="2">
        <v>2237400</v>
      </c>
      <c r="M32" s="2">
        <v>14309000</v>
      </c>
      <c r="N32" s="2">
        <f t="shared" si="15"/>
        <v>93793300</v>
      </c>
      <c r="O32" s="2">
        <f t="shared" si="16"/>
        <v>7692400</v>
      </c>
      <c r="P32" s="2">
        <f t="shared" si="17"/>
        <v>79766700</v>
      </c>
      <c r="Q32" s="15">
        <f>S32*B32</f>
        <v>27074554380.666412</v>
      </c>
      <c r="R32" s="2">
        <v>223220000000</v>
      </c>
      <c r="S32" s="34">
        <f t="shared" ref="S32:S37" si="48">S31+$DA$62</f>
        <v>288.66192340675093</v>
      </c>
      <c r="T32" s="2">
        <f t="shared" si="19"/>
        <v>23892.706527090959</v>
      </c>
      <c r="U32" s="34">
        <f>Q32/P32</f>
        <v>339.42176849069114</v>
      </c>
      <c r="V32" s="15">
        <f>SUM(W32:Z32)</f>
        <v>1729</v>
      </c>
      <c r="W32" s="14">
        <f t="shared" ref="W32:W37" si="49">W31*(100%+$CU$13)</f>
        <v>59</v>
      </c>
      <c r="X32" s="15">
        <f t="shared" ref="X32:X37" si="50">X31*(100%+$CU$15)</f>
        <v>1379</v>
      </c>
      <c r="Y32" s="35">
        <f t="shared" ref="Y32:Z37" si="51">Y31*(100%+$CU$14)</f>
        <v>64</v>
      </c>
      <c r="Z32" s="14">
        <f t="shared" si="51"/>
        <v>227</v>
      </c>
      <c r="AA32" s="33">
        <f t="shared" si="21"/>
        <v>0.40439301605343497</v>
      </c>
      <c r="AB32" s="54">
        <f t="shared" si="0"/>
        <v>48.412000000000006</v>
      </c>
      <c r="AC32" s="15">
        <f>SUM(AD32:AK32)</f>
        <v>5163</v>
      </c>
      <c r="AD32" s="14">
        <f t="shared" ref="AD32:AD37" si="52">AD31*(100%+$DA$14)</f>
        <v>171</v>
      </c>
      <c r="AE32" s="14">
        <f t="shared" ref="AE32:AE37" si="53">AE31*(100%+$DA$18)</f>
        <v>221</v>
      </c>
      <c r="AF32" s="15">
        <f t="shared" ref="AF32:AF37" si="54">AF31*(100%+$DA$13)</f>
        <v>3000</v>
      </c>
      <c r="AG32" s="14">
        <f t="shared" ref="AG32:AH37" si="55">AG31*(100%+$DA$15)</f>
        <v>83</v>
      </c>
      <c r="AH32" s="14">
        <f t="shared" si="55"/>
        <v>232</v>
      </c>
      <c r="AI32" s="14">
        <f t="shared" ref="AI32:AJ37" si="56">AI31*(100%+$DA$16)</f>
        <v>472</v>
      </c>
      <c r="AJ32" s="14">
        <f t="shared" si="56"/>
        <v>306</v>
      </c>
      <c r="AK32" s="14">
        <f t="shared" ref="AK32:AK37" si="57">AK31*(100%+$DA$17)</f>
        <v>678</v>
      </c>
      <c r="AL32" s="54">
        <f t="shared" si="1"/>
        <v>144.56400000000002</v>
      </c>
      <c r="AM32" s="16">
        <f t="shared" si="22"/>
        <v>0.26226927352416596</v>
      </c>
      <c r="AN32" s="16">
        <f t="shared" si="23"/>
        <v>0.12672753887549495</v>
      </c>
      <c r="AO32" s="15">
        <f>AC32+V32</f>
        <v>6892</v>
      </c>
      <c r="AP32" s="15">
        <f>SUM(AQ32:AS32)</f>
        <v>1275.92</v>
      </c>
      <c r="AQ32" s="15">
        <f t="shared" ref="AQ32:AQ37" si="58">AQ31*(100%+$CU$18)</f>
        <v>1264.92</v>
      </c>
      <c r="AR32" s="35">
        <f t="shared" ref="AR32:AR37" si="59">AR31*(100%+$CU$17)</f>
        <v>9</v>
      </c>
      <c r="AS32" s="14">
        <f t="shared" ref="AS32:AS37" si="60">AS31*(100%+$CU$16)</f>
        <v>2</v>
      </c>
      <c r="AT32" s="47">
        <f t="shared" si="2"/>
        <v>35.725760000000008</v>
      </c>
      <c r="AU32" s="14">
        <f t="shared" ref="AU32:AU62" si="61">SUM(AV32:BB32)</f>
        <v>135</v>
      </c>
      <c r="AV32" s="14">
        <f t="shared" ref="AV32:AW37" si="62">AV31*(100%+$DA$22)</f>
        <v>20</v>
      </c>
      <c r="AW32" s="14">
        <f t="shared" si="62"/>
        <v>10</v>
      </c>
      <c r="AX32" s="14">
        <f t="shared" ref="AX32:AX37" si="63">AX31*(100%+$DA$23)</f>
        <v>5</v>
      </c>
      <c r="AY32" s="14">
        <f t="shared" ref="AY32:AY37" si="64">AY31*(100%+$DA$20)</f>
        <v>7</v>
      </c>
      <c r="AZ32" s="14">
        <f t="shared" ref="AZ32:BA37" si="65">AZ31*(100%+$DA$21)</f>
        <v>13</v>
      </c>
      <c r="BA32" s="14">
        <f t="shared" si="65"/>
        <v>10</v>
      </c>
      <c r="BB32" s="14">
        <f t="shared" ref="BB32:BB37" si="66">BB31*(100%+$DA$19)</f>
        <v>70</v>
      </c>
      <c r="BC32" s="47">
        <f t="shared" si="3"/>
        <v>3.7800000000000002</v>
      </c>
      <c r="BD32" s="14">
        <f>SUM(BE32:BG32)</f>
        <v>20.399999999999999</v>
      </c>
      <c r="BE32" s="14">
        <f t="shared" ref="BE32:BE37" si="67">BE31*(100%+$CU$21)</f>
        <v>11.7</v>
      </c>
      <c r="BF32" s="14">
        <f t="shared" ref="BF32:BF37" si="68">BF31*(100%+$CU$20)</f>
        <v>8.6999999999999993</v>
      </c>
      <c r="BG32" s="1" t="s">
        <v>48</v>
      </c>
      <c r="BH32" s="47">
        <f t="shared" si="4"/>
        <v>5.4059999999999997</v>
      </c>
      <c r="BI32" s="14">
        <f>SUM(BJ32:BK32)</f>
        <v>31.5</v>
      </c>
      <c r="BJ32" s="14">
        <f t="shared" ref="BJ32:BK37" si="69">BJ31*(100%+$DA$24)</f>
        <v>21.2</v>
      </c>
      <c r="BK32" s="14">
        <f t="shared" si="69"/>
        <v>10.3</v>
      </c>
      <c r="BL32" s="2">
        <f t="shared" si="5"/>
        <v>3004.92</v>
      </c>
      <c r="BM32" s="2">
        <f t="shared" si="6"/>
        <v>5298</v>
      </c>
      <c r="BN32" s="9">
        <f t="shared" si="7"/>
        <v>89.54376000000002</v>
      </c>
      <c r="BO32" s="9">
        <f t="shared" si="8"/>
        <v>156.69149999999999</v>
      </c>
      <c r="BP32" s="16">
        <f t="shared" si="9"/>
        <v>0.88437399951258855</v>
      </c>
      <c r="BQ32" s="17">
        <f t="shared" si="10"/>
        <v>12.759036025969753</v>
      </c>
      <c r="BR32" s="5">
        <f t="shared" si="25"/>
        <v>51.544920000000047</v>
      </c>
      <c r="BS32" s="5">
        <f t="shared" si="26"/>
        <v>0.85400000000000098</v>
      </c>
      <c r="BT32">
        <f t="shared" si="11"/>
        <v>8.3475000000000001</v>
      </c>
      <c r="BU32" s="5">
        <f t="shared" si="34"/>
        <v>60.746420000000043</v>
      </c>
      <c r="BV32" s="5">
        <f t="shared" si="27"/>
        <v>38.545360000000016</v>
      </c>
      <c r="BW32" s="5">
        <f t="shared" si="28"/>
        <v>60.330692800000008</v>
      </c>
      <c r="BX32">
        <f t="shared" si="12"/>
        <v>5.4059999999999997</v>
      </c>
      <c r="BY32" s="5">
        <f t="shared" si="35"/>
        <v>104.28205280000003</v>
      </c>
      <c r="BZ32" s="5">
        <f t="shared" si="36"/>
        <v>165.02847280000009</v>
      </c>
      <c r="CA32" s="9">
        <f>CA31*(1+$DA$72)</f>
        <v>101.74460904827136</v>
      </c>
      <c r="CB32" s="9">
        <f t="shared" si="37"/>
        <v>8.2848344185555849</v>
      </c>
      <c r="CC32" s="16">
        <f>CC31*(1+$CU$60)</f>
        <v>23.621662690168829</v>
      </c>
      <c r="CD32" s="16">
        <f t="shared" si="38"/>
        <v>0.23329804677000268</v>
      </c>
      <c r="CE32" s="9">
        <f t="shared" si="39"/>
        <v>258.43610904827136</v>
      </c>
      <c r="CF32" s="9">
        <f t="shared" si="42"/>
        <v>2756.1201995309848</v>
      </c>
      <c r="CG32" s="9">
        <f t="shared" si="29"/>
        <v>21.043870444525339</v>
      </c>
      <c r="CH32" s="9">
        <f t="shared" si="30"/>
        <v>162.4910290482714</v>
      </c>
      <c r="CI32" s="9">
        <f t="shared" si="43"/>
        <v>1356.5303995309853</v>
      </c>
      <c r="CJ32" s="9">
        <f t="shared" si="40"/>
        <v>113.16542269016885</v>
      </c>
      <c r="CK32" s="9">
        <f t="shared" si="46"/>
        <v>1215.7765495918572</v>
      </c>
      <c r="CL32" s="9">
        <f t="shared" si="31"/>
        <v>1.1176720462825913</v>
      </c>
      <c r="CM32" s="9">
        <f t="shared" si="32"/>
        <v>127.90371549016886</v>
      </c>
      <c r="CN32" s="9">
        <f t="shared" si="47"/>
        <v>1501.9796023918575</v>
      </c>
      <c r="CO32" s="9">
        <f t="shared" si="33"/>
        <v>290.39474453844025</v>
      </c>
      <c r="CP32" s="9">
        <f t="shared" si="44"/>
        <v>2858.5100019228425</v>
      </c>
      <c r="CR32" s="18" t="s">
        <v>83</v>
      </c>
      <c r="CS32" s="19" t="s">
        <v>78</v>
      </c>
      <c r="CT32" s="19" t="s">
        <v>77</v>
      </c>
      <c r="CU32" s="20">
        <v>0</v>
      </c>
      <c r="CV32" s="28">
        <f>((Z52+Y52)-(Z43+Y43))/(Y43+Z43)</f>
        <v>0</v>
      </c>
      <c r="CX32" s="18" t="s">
        <v>82</v>
      </c>
      <c r="CY32" s="19" t="s">
        <v>99</v>
      </c>
      <c r="CZ32" s="19" t="s">
        <v>80</v>
      </c>
      <c r="DA32" s="20">
        <v>0</v>
      </c>
      <c r="DB32" s="40">
        <f>(AY42-AY38)/AY38</f>
        <v>0</v>
      </c>
    </row>
    <row r="33" spans="1:106" x14ac:dyDescent="0.3">
      <c r="A33" s="1">
        <v>2021</v>
      </c>
      <c r="B33" s="2">
        <v>93594500</v>
      </c>
      <c r="C33" s="2">
        <v>9440400</v>
      </c>
      <c r="D33" s="2">
        <v>4604500</v>
      </c>
      <c r="E33" s="2">
        <v>31157600</v>
      </c>
      <c r="F33" s="11">
        <f t="shared" si="13"/>
        <v>0.39167513098745937</v>
      </c>
      <c r="G33" s="2">
        <v>5812100</v>
      </c>
      <c r="H33" s="2">
        <v>9583500</v>
      </c>
      <c r="I33" s="2">
        <v>16597800</v>
      </c>
      <c r="J33" s="2">
        <v>14707400</v>
      </c>
      <c r="K33" s="12">
        <f t="shared" si="14"/>
        <v>0.18488339350543559</v>
      </c>
      <c r="L33" s="2">
        <v>2210500</v>
      </c>
      <c r="M33" s="2">
        <v>14188100</v>
      </c>
      <c r="N33" s="2">
        <f t="shared" si="15"/>
        <v>93594500</v>
      </c>
      <c r="O33" s="2">
        <f t="shared" si="16"/>
        <v>7702500</v>
      </c>
      <c r="P33" s="2">
        <f t="shared" si="17"/>
        <v>79549600</v>
      </c>
      <c r="Q33" s="15">
        <f t="shared" ref="Q33:Q62" si="70">S33*B33</f>
        <v>27157560140.293148</v>
      </c>
      <c r="R33" s="15">
        <f>T33*C33</f>
        <v>228488943885.42798</v>
      </c>
      <c r="S33" s="34">
        <f t="shared" si="48"/>
        <v>290.16192340675093</v>
      </c>
      <c r="T33" s="15">
        <f>T32*+(100%+$CU$50)</f>
        <v>24203.311711943137</v>
      </c>
      <c r="U33" s="34">
        <f t="shared" ref="U33:U62" si="71">Q33/P33</f>
        <v>341.39153610191818</v>
      </c>
      <c r="V33" s="15">
        <f t="shared" ref="V33:V62" si="72">SUM(W33:Z33)</f>
        <v>1729</v>
      </c>
      <c r="W33" s="14">
        <f t="shared" si="49"/>
        <v>59</v>
      </c>
      <c r="X33" s="15">
        <f t="shared" si="50"/>
        <v>1379</v>
      </c>
      <c r="Y33" s="35">
        <f t="shared" si="51"/>
        <v>64</v>
      </c>
      <c r="Z33" s="14">
        <f t="shared" si="51"/>
        <v>227</v>
      </c>
      <c r="AA33" s="33">
        <f t="shared" si="21"/>
        <v>0.40020361338299459</v>
      </c>
      <c r="AB33" s="54">
        <f t="shared" si="0"/>
        <v>48.412000000000006</v>
      </c>
      <c r="AC33" s="15">
        <f t="shared" ref="AC33:AC62" si="73">SUM(AD33:AK33)</f>
        <v>5163</v>
      </c>
      <c r="AD33" s="14">
        <f t="shared" si="52"/>
        <v>171</v>
      </c>
      <c r="AE33" s="14">
        <f t="shared" si="53"/>
        <v>221</v>
      </c>
      <c r="AF33" s="15">
        <f t="shared" si="54"/>
        <v>3000</v>
      </c>
      <c r="AG33" s="14">
        <f t="shared" si="55"/>
        <v>83</v>
      </c>
      <c r="AH33" s="14">
        <f t="shared" si="55"/>
        <v>232</v>
      </c>
      <c r="AI33" s="14">
        <f t="shared" si="56"/>
        <v>472</v>
      </c>
      <c r="AJ33" s="14">
        <f t="shared" si="56"/>
        <v>306</v>
      </c>
      <c r="AK33" s="14">
        <f t="shared" si="57"/>
        <v>678</v>
      </c>
      <c r="AL33" s="54">
        <f t="shared" si="1"/>
        <v>144.56400000000002</v>
      </c>
      <c r="AM33" s="16">
        <f t="shared" si="22"/>
        <v>0.26379368379438023</v>
      </c>
      <c r="AN33" s="16">
        <f t="shared" si="23"/>
        <v>0.1262992946799123</v>
      </c>
      <c r="AO33" s="15">
        <f t="shared" ref="AO33:AO62" si="74">AC33+V33</f>
        <v>6892</v>
      </c>
      <c r="AP33" s="15">
        <f t="shared" ref="AP33:AP62" si="75">SUM(AQ33:AS33)</f>
        <v>1270.86032</v>
      </c>
      <c r="AQ33" s="15">
        <f t="shared" si="58"/>
        <v>1259.86032</v>
      </c>
      <c r="AR33" s="35">
        <f t="shared" si="59"/>
        <v>9</v>
      </c>
      <c r="AS33" s="14">
        <f t="shared" si="60"/>
        <v>2</v>
      </c>
      <c r="AT33" s="47">
        <f t="shared" si="2"/>
        <v>35.584088959999995</v>
      </c>
      <c r="AU33" s="14">
        <f t="shared" si="61"/>
        <v>135</v>
      </c>
      <c r="AV33" s="14">
        <f t="shared" si="62"/>
        <v>20</v>
      </c>
      <c r="AW33" s="14">
        <f t="shared" si="62"/>
        <v>10</v>
      </c>
      <c r="AX33" s="14">
        <f t="shared" si="63"/>
        <v>5</v>
      </c>
      <c r="AY33" s="14">
        <f t="shared" si="64"/>
        <v>7</v>
      </c>
      <c r="AZ33" s="14">
        <f t="shared" si="65"/>
        <v>13</v>
      </c>
      <c r="BA33" s="14">
        <f t="shared" si="65"/>
        <v>10</v>
      </c>
      <c r="BB33" s="14">
        <f t="shared" si="66"/>
        <v>70</v>
      </c>
      <c r="BC33" s="47">
        <f t="shared" si="3"/>
        <v>3.7800000000000002</v>
      </c>
      <c r="BD33" s="14">
        <f t="shared" ref="BD33:BD62" si="76">SUM(BE33:BG33)</f>
        <v>20.399999999999999</v>
      </c>
      <c r="BE33" s="14">
        <f t="shared" si="67"/>
        <v>11.7</v>
      </c>
      <c r="BF33" s="14">
        <f t="shared" si="68"/>
        <v>8.6999999999999993</v>
      </c>
      <c r="BG33" s="1" t="s">
        <v>48</v>
      </c>
      <c r="BH33" s="47">
        <f t="shared" si="4"/>
        <v>5.4059999999999997</v>
      </c>
      <c r="BI33" s="14">
        <f t="shared" ref="BI33:BI62" si="77">SUM(BJ33:BK33)</f>
        <v>31.5</v>
      </c>
      <c r="BJ33" s="14">
        <f t="shared" si="69"/>
        <v>21.2</v>
      </c>
      <c r="BK33" s="14">
        <f t="shared" si="69"/>
        <v>10.3</v>
      </c>
      <c r="BL33" s="2">
        <f t="shared" si="5"/>
        <v>2999.8603199999998</v>
      </c>
      <c r="BM33" s="2">
        <f t="shared" si="6"/>
        <v>5298</v>
      </c>
      <c r="BN33" s="9">
        <f t="shared" si="7"/>
        <v>89.40208896</v>
      </c>
      <c r="BO33" s="9">
        <f t="shared" si="8"/>
        <v>156.69149999999999</v>
      </c>
      <c r="BP33" s="16">
        <f t="shared" si="9"/>
        <v>0.86261343770675636</v>
      </c>
      <c r="BQ33" s="17">
        <f t="shared" si="10"/>
        <v>12.720038653894742</v>
      </c>
      <c r="BR33" s="5">
        <f t="shared" si="25"/>
        <v>55.471920000000068</v>
      </c>
      <c r="BS33" s="5">
        <f t="shared" si="26"/>
        <v>0.49700000000000166</v>
      </c>
      <c r="BT33">
        <f t="shared" si="11"/>
        <v>8.3475000000000001</v>
      </c>
      <c r="BU33" s="5">
        <f t="shared" si="34"/>
        <v>64.316420000000065</v>
      </c>
      <c r="BV33" s="5">
        <f t="shared" si="27"/>
        <v>39.735360000000014</v>
      </c>
      <c r="BW33" s="5">
        <f t="shared" si="28"/>
        <v>53.738922988800027</v>
      </c>
      <c r="BX33">
        <f t="shared" si="12"/>
        <v>5.4059999999999997</v>
      </c>
      <c r="BY33" s="5">
        <f t="shared" si="35"/>
        <v>98.880282988800047</v>
      </c>
      <c r="BZ33" s="5">
        <f t="shared" si="36"/>
        <v>163.1967029888001</v>
      </c>
      <c r="CA33" s="9">
        <f t="shared" ref="CA33:CA37" si="78">CA32*(1+$DA$72)</f>
        <v>101.74460904827136</v>
      </c>
      <c r="CB33" s="9">
        <f t="shared" si="37"/>
        <v>8.2595122257392433</v>
      </c>
      <c r="CC33" s="16">
        <f t="shared" ref="CC33:CC37" si="79">CC32*(1+$CU$60)</f>
        <v>23.621662690168829</v>
      </c>
      <c r="CD33" s="16">
        <f t="shared" si="38"/>
        <v>0.22791820520695763</v>
      </c>
      <c r="CE33" s="9">
        <f t="shared" si="39"/>
        <v>258.43610904827136</v>
      </c>
      <c r="CF33" s="9">
        <f t="shared" si="42"/>
        <v>3014.556308579256</v>
      </c>
      <c r="CG33" s="9">
        <f t="shared" si="29"/>
        <v>20.979550879633987</v>
      </c>
      <c r="CH33" s="9">
        <f t="shared" si="30"/>
        <v>166.06102904827142</v>
      </c>
      <c r="CI33" s="9">
        <f t="shared" si="43"/>
        <v>1522.5914285792567</v>
      </c>
      <c r="CJ33" s="9">
        <f t="shared" si="40"/>
        <v>113.02375165016883</v>
      </c>
      <c r="CK33" s="9">
        <f t="shared" si="46"/>
        <v>1328.8003012420261</v>
      </c>
      <c r="CL33" s="9">
        <f t="shared" si="31"/>
        <v>1.0905316429137142</v>
      </c>
      <c r="CM33" s="9">
        <f t="shared" si="32"/>
        <v>122.50194567896888</v>
      </c>
      <c r="CN33" s="9">
        <f t="shared" si="47"/>
        <v>1624.4815480708264</v>
      </c>
      <c r="CO33" s="9">
        <f t="shared" si="33"/>
        <v>288.56297472724032</v>
      </c>
      <c r="CP33" s="9">
        <f t="shared" si="44"/>
        <v>3147.0729766500826</v>
      </c>
      <c r="CR33" s="18" t="s">
        <v>83</v>
      </c>
      <c r="CS33" s="19" t="s">
        <v>79</v>
      </c>
      <c r="CT33" s="19" t="s">
        <v>77</v>
      </c>
      <c r="CU33" s="20">
        <v>-0.01</v>
      </c>
      <c r="CV33" s="28">
        <f>(X52-X43)/X43</f>
        <v>-8.6482752516359368E-2</v>
      </c>
      <c r="CX33" s="18" t="s">
        <v>82</v>
      </c>
      <c r="CY33" s="19" t="s">
        <v>100</v>
      </c>
      <c r="CZ33" s="19" t="s">
        <v>80</v>
      </c>
      <c r="DA33" s="20">
        <v>0</v>
      </c>
      <c r="DB33" s="40">
        <f>((BA42+AZ42)-(BA38+AZ38))/(AZ38+BA38)</f>
        <v>0</v>
      </c>
    </row>
    <row r="34" spans="1:106" x14ac:dyDescent="0.3">
      <c r="A34" s="1">
        <v>2022</v>
      </c>
      <c r="B34" s="15">
        <f>C34+D34+P34</f>
        <v>93594500</v>
      </c>
      <c r="C34" s="15">
        <f t="shared" ref="C34:D37" si="80">C33*(100%+$CU$55)</f>
        <v>9440400</v>
      </c>
      <c r="D34" s="15">
        <f t="shared" si="80"/>
        <v>4604500</v>
      </c>
      <c r="E34" s="2">
        <f>0.393*P34</f>
        <v>31262992.800000001</v>
      </c>
      <c r="F34" s="11">
        <f t="shared" si="13"/>
        <v>0.39300000000000002</v>
      </c>
      <c r="J34" s="2">
        <f>K34*P34</f>
        <v>14707399.999999998</v>
      </c>
      <c r="K34" s="12">
        <f>K33</f>
        <v>0.18488339350543559</v>
      </c>
      <c r="P34" s="15">
        <f>P33*(100%+$DA$67)</f>
        <v>79549600</v>
      </c>
      <c r="Q34" s="15">
        <f t="shared" si="70"/>
        <v>27297951890.293148</v>
      </c>
      <c r="R34" s="15">
        <f t="shared" ref="R34:R61" si="81">T34*C34</f>
        <v>231459300155.93854</v>
      </c>
      <c r="S34" s="34">
        <f t="shared" si="48"/>
        <v>291.66192340675093</v>
      </c>
      <c r="T34" s="15">
        <f>T33*+(100%+$CU$50)</f>
        <v>24517.954764198395</v>
      </c>
      <c r="U34" s="34">
        <f t="shared" si="71"/>
        <v>343.15636898605584</v>
      </c>
      <c r="V34" s="15">
        <f t="shared" si="72"/>
        <v>1729</v>
      </c>
      <c r="W34" s="14">
        <f t="shared" si="49"/>
        <v>59</v>
      </c>
      <c r="X34" s="15">
        <f t="shared" si="50"/>
        <v>1379</v>
      </c>
      <c r="Y34" s="35">
        <f t="shared" si="51"/>
        <v>64</v>
      </c>
      <c r="Z34" s="14">
        <f t="shared" si="51"/>
        <v>227</v>
      </c>
      <c r="AA34" s="33">
        <f t="shared" si="21"/>
        <v>0.40020361338299459</v>
      </c>
      <c r="AB34" s="54">
        <f t="shared" ref="AB34:AB62" si="82">(V34/10^3)*$CS$7</f>
        <v>48.412000000000006</v>
      </c>
      <c r="AC34" s="15">
        <f t="shared" si="73"/>
        <v>5163</v>
      </c>
      <c r="AD34" s="14">
        <f t="shared" si="52"/>
        <v>171</v>
      </c>
      <c r="AE34" s="14">
        <f t="shared" si="53"/>
        <v>221</v>
      </c>
      <c r="AF34" s="15">
        <f t="shared" si="54"/>
        <v>3000</v>
      </c>
      <c r="AG34" s="14">
        <f t="shared" si="55"/>
        <v>83</v>
      </c>
      <c r="AH34" s="14">
        <f t="shared" si="55"/>
        <v>232</v>
      </c>
      <c r="AI34" s="14">
        <f t="shared" si="56"/>
        <v>472</v>
      </c>
      <c r="AJ34" s="14">
        <f t="shared" si="56"/>
        <v>306</v>
      </c>
      <c r="AK34" s="14">
        <f t="shared" si="57"/>
        <v>678</v>
      </c>
      <c r="AL34" s="54">
        <f t="shared" ref="AL34:AL62" si="83">(AC34/10^3)*$CS$7</f>
        <v>144.56400000000002</v>
      </c>
      <c r="AM34" s="16">
        <f t="shared" si="22"/>
        <v>0.26290439097666235</v>
      </c>
      <c r="AN34" s="16">
        <f t="shared" si="23"/>
        <v>0.12629929467991233</v>
      </c>
      <c r="AO34" s="15">
        <f t="shared" si="74"/>
        <v>6892</v>
      </c>
      <c r="AP34" s="15">
        <f t="shared" si="75"/>
        <v>1265.8208787200001</v>
      </c>
      <c r="AQ34" s="15">
        <f t="shared" si="58"/>
        <v>1254.8208787200001</v>
      </c>
      <c r="AR34" s="35">
        <f t="shared" si="59"/>
        <v>9</v>
      </c>
      <c r="AS34" s="14">
        <f t="shared" si="60"/>
        <v>2</v>
      </c>
      <c r="AT34" s="47">
        <f t="shared" ref="AT34:AT62" si="84">(AP34/10^3)*$CS$7</f>
        <v>35.442984604160003</v>
      </c>
      <c r="AU34" s="14">
        <f t="shared" si="61"/>
        <v>135</v>
      </c>
      <c r="AV34" s="14">
        <f t="shared" si="62"/>
        <v>20</v>
      </c>
      <c r="AW34" s="14">
        <f t="shared" si="62"/>
        <v>10</v>
      </c>
      <c r="AX34" s="14">
        <f t="shared" si="63"/>
        <v>5</v>
      </c>
      <c r="AY34" s="14">
        <f t="shared" si="64"/>
        <v>7</v>
      </c>
      <c r="AZ34" s="14">
        <f t="shared" si="65"/>
        <v>13</v>
      </c>
      <c r="BA34" s="14">
        <f t="shared" si="65"/>
        <v>10</v>
      </c>
      <c r="BB34" s="14">
        <f t="shared" si="66"/>
        <v>70</v>
      </c>
      <c r="BC34" s="47">
        <f t="shared" ref="BC34:BC62" si="85">(AU34/10^3)*$CS$7</f>
        <v>3.7800000000000002</v>
      </c>
      <c r="BD34" s="14">
        <f t="shared" si="76"/>
        <v>20.399999999999999</v>
      </c>
      <c r="BE34" s="14">
        <f t="shared" si="67"/>
        <v>11.7</v>
      </c>
      <c r="BF34" s="14">
        <f t="shared" si="68"/>
        <v>8.6999999999999993</v>
      </c>
      <c r="BG34" s="1" t="s">
        <v>48</v>
      </c>
      <c r="BH34" s="47">
        <f t="shared" ref="BH34:BH62" si="86">(BD34/10^3)*$CS$8</f>
        <v>5.4059999999999997</v>
      </c>
      <c r="BI34" s="14">
        <f t="shared" si="77"/>
        <v>31.5</v>
      </c>
      <c r="BJ34" s="14">
        <f t="shared" si="69"/>
        <v>21.2</v>
      </c>
      <c r="BK34" s="14">
        <f t="shared" si="69"/>
        <v>10.3</v>
      </c>
      <c r="BL34" s="2">
        <f t="shared" ref="BL34:BL62" si="87">AP34+V34</f>
        <v>2994.8208787200001</v>
      </c>
      <c r="BM34" s="2">
        <f t="shared" ref="BM34:BM62" si="88">AU34+AC34</f>
        <v>5298</v>
      </c>
      <c r="BN34" s="9">
        <f t="shared" ref="BN34:BN62" si="89">((BL34*$CS$7)/1000)+((BD34*$CS$8)/1000)</f>
        <v>89.260984604160015</v>
      </c>
      <c r="BO34" s="9">
        <f t="shared" ref="BO34:BO62" si="90">((BM34*$CS$7)/1000)+(BI34*$CS$8)/1000</f>
        <v>156.69149999999999</v>
      </c>
      <c r="BP34" s="16">
        <f t="shared" ref="BP34:BP62" si="91">BN34/((R34/$CS$9)/10^9)</f>
        <v>0.85019937304504245</v>
      </c>
      <c r="BQ34" s="17">
        <f t="shared" ref="BQ34:BQ62" si="92">BO34/((Q34/$CS$9)/10^9)</f>
        <v>12.654620248372423</v>
      </c>
      <c r="BR34" s="5">
        <f t="shared" si="25"/>
        <v>55.114920000000097</v>
      </c>
      <c r="BS34" s="5">
        <f t="shared" si="26"/>
        <v>0.85400000000000098</v>
      </c>
      <c r="BT34">
        <f t="shared" ref="BT34:BT62" si="93">(BI34*$CS$8)/10^3</f>
        <v>8.3475000000000001</v>
      </c>
      <c r="BU34" s="5">
        <f t="shared" si="34"/>
        <v>64.316420000000093</v>
      </c>
      <c r="BV34" s="5">
        <f t="shared" si="27"/>
        <v>39.378360000000015</v>
      </c>
      <c r="BW34" s="5">
        <f t="shared" si="28"/>
        <v>50.719720256844809</v>
      </c>
      <c r="BX34">
        <f t="shared" ref="BX34:BX62" si="94">(BD34*$CS$8)/10^3</f>
        <v>5.4059999999999997</v>
      </c>
      <c r="BY34" s="5">
        <f t="shared" si="35"/>
        <v>95.50408025684483</v>
      </c>
      <c r="BZ34" s="5">
        <f t="shared" si="36"/>
        <v>159.82050025684492</v>
      </c>
      <c r="CA34" s="9">
        <f t="shared" si="78"/>
        <v>101.74460904827136</v>
      </c>
      <c r="CB34" s="9">
        <f t="shared" si="37"/>
        <v>8.2170340434866667</v>
      </c>
      <c r="CC34" s="16">
        <f t="shared" si="79"/>
        <v>23.621662690168829</v>
      </c>
      <c r="CD34" s="16">
        <f t="shared" si="38"/>
        <v>0.22499329240568375</v>
      </c>
      <c r="CE34" s="9">
        <f t="shared" si="39"/>
        <v>258.43610904827136</v>
      </c>
      <c r="CF34" s="9">
        <f t="shared" si="42"/>
        <v>3272.9924176275272</v>
      </c>
      <c r="CG34" s="9">
        <f t="shared" si="29"/>
        <v>20.871654291859091</v>
      </c>
      <c r="CH34" s="9">
        <f t="shared" si="30"/>
        <v>166.06102904827145</v>
      </c>
      <c r="CI34" s="9">
        <f t="shared" si="43"/>
        <v>1688.6524576275281</v>
      </c>
      <c r="CJ34" s="9">
        <f t="shared" si="40"/>
        <v>112.88264729432885</v>
      </c>
      <c r="CK34" s="9">
        <f t="shared" si="46"/>
        <v>1441.6829485363548</v>
      </c>
      <c r="CL34" s="9">
        <f t="shared" si="31"/>
        <v>1.075192665450726</v>
      </c>
      <c r="CM34" s="9">
        <f t="shared" si="32"/>
        <v>119.12574294701366</v>
      </c>
      <c r="CN34" s="9">
        <f t="shared" si="47"/>
        <v>1743.60729101784</v>
      </c>
      <c r="CO34" s="9">
        <f t="shared" si="33"/>
        <v>285.18677199528508</v>
      </c>
      <c r="CP34" s="9">
        <f t="shared" si="44"/>
        <v>3432.2597486453678</v>
      </c>
      <c r="CR34" s="18" t="s">
        <v>83</v>
      </c>
      <c r="CS34" s="19" t="s">
        <v>75</v>
      </c>
      <c r="CT34" s="19" t="s">
        <v>80</v>
      </c>
      <c r="CU34" s="20">
        <v>0</v>
      </c>
      <c r="CV34" s="28">
        <f>(AS52-AS43)/AS43</f>
        <v>0</v>
      </c>
      <c r="CX34" s="18" t="s">
        <v>82</v>
      </c>
      <c r="CY34" s="19" t="s">
        <v>98</v>
      </c>
      <c r="CZ34" s="19" t="s">
        <v>80</v>
      </c>
      <c r="DA34" s="20">
        <v>0</v>
      </c>
      <c r="DB34" s="40">
        <f>((AW42+AV42)-(AW38+AV38))/(AV38+AW38)</f>
        <v>0</v>
      </c>
    </row>
    <row r="35" spans="1:106" x14ac:dyDescent="0.3">
      <c r="A35" s="1">
        <v>2023</v>
      </c>
      <c r="B35" s="15">
        <f t="shared" ref="B35:B62" si="95">C35+D35+P35</f>
        <v>93594500</v>
      </c>
      <c r="C35" s="15">
        <f t="shared" si="80"/>
        <v>9440400</v>
      </c>
      <c r="D35" s="15">
        <f t="shared" si="80"/>
        <v>4604500</v>
      </c>
      <c r="E35" s="2">
        <f t="shared" ref="E35:E62" si="96">0.393*P35</f>
        <v>31262992.800000001</v>
      </c>
      <c r="F35" s="11">
        <f t="shared" si="13"/>
        <v>0.39300000000000002</v>
      </c>
      <c r="J35" s="2">
        <f t="shared" ref="J35:J62" si="97">K35*P35</f>
        <v>14707399.999999998</v>
      </c>
      <c r="K35" s="12">
        <f>K34</f>
        <v>0.18488339350543559</v>
      </c>
      <c r="P35" s="15">
        <f>P34*(100%+$DA$67)</f>
        <v>79549600</v>
      </c>
      <c r="Q35" s="15">
        <f t="shared" si="70"/>
        <v>27438343640.293148</v>
      </c>
      <c r="R35" s="15">
        <f t="shared" si="81"/>
        <v>234468271057.9657</v>
      </c>
      <c r="S35" s="34">
        <f t="shared" si="48"/>
        <v>293.16192340675093</v>
      </c>
      <c r="T35" s="15">
        <f>T34*+(100%+$CU$50)</f>
        <v>24836.688176132971</v>
      </c>
      <c r="U35" s="34">
        <f t="shared" si="71"/>
        <v>344.92120187019356</v>
      </c>
      <c r="V35" s="15">
        <f t="shared" si="72"/>
        <v>1729</v>
      </c>
      <c r="W35" s="14">
        <f t="shared" si="49"/>
        <v>59</v>
      </c>
      <c r="X35" s="15">
        <f t="shared" si="50"/>
        <v>1379</v>
      </c>
      <c r="Y35" s="35">
        <f t="shared" si="51"/>
        <v>64</v>
      </c>
      <c r="Z35" s="14">
        <f t="shared" si="51"/>
        <v>227</v>
      </c>
      <c r="AA35" s="33">
        <f t="shared" si="21"/>
        <v>0.40020361338299459</v>
      </c>
      <c r="AB35" s="54">
        <f t="shared" si="82"/>
        <v>48.412000000000006</v>
      </c>
      <c r="AC35" s="15">
        <f t="shared" si="73"/>
        <v>5163</v>
      </c>
      <c r="AD35" s="14">
        <f t="shared" si="52"/>
        <v>171</v>
      </c>
      <c r="AE35" s="14">
        <f t="shared" si="53"/>
        <v>221</v>
      </c>
      <c r="AF35" s="15">
        <f t="shared" si="54"/>
        <v>3000</v>
      </c>
      <c r="AG35" s="14">
        <f t="shared" si="55"/>
        <v>83</v>
      </c>
      <c r="AH35" s="14">
        <f t="shared" si="55"/>
        <v>232</v>
      </c>
      <c r="AI35" s="14">
        <f t="shared" si="56"/>
        <v>472</v>
      </c>
      <c r="AJ35" s="14">
        <f t="shared" si="56"/>
        <v>306</v>
      </c>
      <c r="AK35" s="14">
        <f t="shared" si="57"/>
        <v>678</v>
      </c>
      <c r="AL35" s="54">
        <f t="shared" si="83"/>
        <v>144.56400000000002</v>
      </c>
      <c r="AM35" s="16">
        <f t="shared" si="22"/>
        <v>0.26290439097666235</v>
      </c>
      <c r="AN35" s="16">
        <f t="shared" si="23"/>
        <v>0.12629929467991233</v>
      </c>
      <c r="AO35" s="15">
        <f t="shared" si="74"/>
        <v>6892</v>
      </c>
      <c r="AP35" s="15">
        <f t="shared" si="75"/>
        <v>1260.8015952051201</v>
      </c>
      <c r="AQ35" s="15">
        <f t="shared" si="58"/>
        <v>1249.8015952051201</v>
      </c>
      <c r="AR35" s="35">
        <f t="shared" si="59"/>
        <v>9</v>
      </c>
      <c r="AS35" s="14">
        <f t="shared" si="60"/>
        <v>2</v>
      </c>
      <c r="AT35" s="47">
        <f t="shared" si="84"/>
        <v>35.302444665743366</v>
      </c>
      <c r="AU35" s="14">
        <f t="shared" si="61"/>
        <v>135</v>
      </c>
      <c r="AV35" s="14">
        <f t="shared" si="62"/>
        <v>20</v>
      </c>
      <c r="AW35" s="14">
        <f t="shared" si="62"/>
        <v>10</v>
      </c>
      <c r="AX35" s="14">
        <f t="shared" si="63"/>
        <v>5</v>
      </c>
      <c r="AY35" s="14">
        <f t="shared" si="64"/>
        <v>7</v>
      </c>
      <c r="AZ35" s="14">
        <f t="shared" si="65"/>
        <v>13</v>
      </c>
      <c r="BA35" s="14">
        <f t="shared" si="65"/>
        <v>10</v>
      </c>
      <c r="BB35" s="14">
        <f t="shared" si="66"/>
        <v>70</v>
      </c>
      <c r="BC35" s="47">
        <f t="shared" si="85"/>
        <v>3.7800000000000002</v>
      </c>
      <c r="BD35" s="14">
        <f t="shared" si="76"/>
        <v>20.399999999999999</v>
      </c>
      <c r="BE35" s="14">
        <f t="shared" si="67"/>
        <v>11.7</v>
      </c>
      <c r="BF35" s="14">
        <f t="shared" si="68"/>
        <v>8.6999999999999993</v>
      </c>
      <c r="BG35" s="1" t="s">
        <v>48</v>
      </c>
      <c r="BH35" s="47">
        <f t="shared" si="86"/>
        <v>5.4059999999999997</v>
      </c>
      <c r="BI35" s="14">
        <f t="shared" si="77"/>
        <v>31.5</v>
      </c>
      <c r="BJ35" s="14">
        <f t="shared" si="69"/>
        <v>21.2</v>
      </c>
      <c r="BK35" s="14">
        <f t="shared" si="69"/>
        <v>10.3</v>
      </c>
      <c r="BL35" s="2">
        <f t="shared" si="87"/>
        <v>2989.8015952051201</v>
      </c>
      <c r="BM35" s="2">
        <f t="shared" si="88"/>
        <v>5298</v>
      </c>
      <c r="BN35" s="9">
        <f t="shared" si="89"/>
        <v>89.120444665743364</v>
      </c>
      <c r="BO35" s="9">
        <f t="shared" si="90"/>
        <v>156.69149999999999</v>
      </c>
      <c r="BP35" s="16">
        <f t="shared" si="91"/>
        <v>0.83796717497190809</v>
      </c>
      <c r="BQ35" s="17">
        <f t="shared" si="92"/>
        <v>12.589871285915175</v>
      </c>
      <c r="BR35" s="5">
        <f t="shared" si="25"/>
        <v>54.995920000000069</v>
      </c>
      <c r="BS35" s="5">
        <f t="shared" si="26"/>
        <v>0.85400000000000098</v>
      </c>
      <c r="BT35">
        <f t="shared" si="93"/>
        <v>8.3475000000000001</v>
      </c>
      <c r="BU35" s="5">
        <f t="shared" si="34"/>
        <v>64.197420000000065</v>
      </c>
      <c r="BV35" s="5">
        <f t="shared" si="27"/>
        <v>38.426360000000017</v>
      </c>
      <c r="BW35" s="5">
        <f t="shared" si="28"/>
        <v>45.323074335817424</v>
      </c>
      <c r="BX35">
        <f t="shared" si="94"/>
        <v>5.4059999999999997</v>
      </c>
      <c r="BY35" s="5">
        <f t="shared" si="35"/>
        <v>89.155434335817446</v>
      </c>
      <c r="BZ35" s="5">
        <f t="shared" si="36"/>
        <v>153.35285433581751</v>
      </c>
      <c r="CA35" s="9">
        <f t="shared" si="78"/>
        <v>101.74460904827136</v>
      </c>
      <c r="CB35" s="9">
        <f t="shared" si="37"/>
        <v>8.1749905512009065</v>
      </c>
      <c r="CC35" s="16">
        <f t="shared" si="79"/>
        <v>23.621662690168829</v>
      </c>
      <c r="CD35" s="16">
        <f t="shared" si="38"/>
        <v>0.22210591550413009</v>
      </c>
      <c r="CE35" s="9">
        <f t="shared" si="39"/>
        <v>258.43610904827136</v>
      </c>
      <c r="CF35" s="9">
        <f t="shared" si="42"/>
        <v>3531.4285266757984</v>
      </c>
      <c r="CG35" s="9">
        <f t="shared" si="29"/>
        <v>20.764861837116079</v>
      </c>
      <c r="CH35" s="9">
        <f t="shared" si="30"/>
        <v>165.94202904827142</v>
      </c>
      <c r="CI35" s="9">
        <f t="shared" si="43"/>
        <v>1854.5944866757995</v>
      </c>
      <c r="CJ35" s="9">
        <f t="shared" si="40"/>
        <v>112.7421073559122</v>
      </c>
      <c r="CK35" s="9">
        <f t="shared" si="46"/>
        <v>1554.425055892267</v>
      </c>
      <c r="CL35" s="9">
        <f t="shared" si="31"/>
        <v>1.0600730904760383</v>
      </c>
      <c r="CM35" s="9">
        <f t="shared" si="32"/>
        <v>112.77709702598628</v>
      </c>
      <c r="CN35" s="9">
        <f t="shared" si="47"/>
        <v>1856.3843880438262</v>
      </c>
      <c r="CO35" s="9">
        <f t="shared" si="33"/>
        <v>278.7191260742577</v>
      </c>
      <c r="CP35" s="9">
        <f t="shared" si="44"/>
        <v>3710.9788747196253</v>
      </c>
      <c r="CR35" s="18" t="s">
        <v>83</v>
      </c>
      <c r="CS35" s="19" t="s">
        <v>78</v>
      </c>
      <c r="CT35" s="19" t="s">
        <v>80</v>
      </c>
      <c r="CU35" s="20">
        <v>0</v>
      </c>
      <c r="CV35" s="28">
        <f>(AR52-AR43)/AR43</f>
        <v>0</v>
      </c>
      <c r="CX35" s="18" t="s">
        <v>82</v>
      </c>
      <c r="CY35" s="19" t="s">
        <v>18</v>
      </c>
      <c r="CZ35" s="19" t="s">
        <v>80</v>
      </c>
      <c r="DA35" s="20">
        <v>0</v>
      </c>
      <c r="DB35" s="40">
        <f>(AX42-AX38)/AX38</f>
        <v>0</v>
      </c>
    </row>
    <row r="36" spans="1:106" x14ac:dyDescent="0.3">
      <c r="A36" s="1">
        <v>2024</v>
      </c>
      <c r="B36" s="15">
        <f t="shared" si="95"/>
        <v>93594500</v>
      </c>
      <c r="C36" s="15">
        <f t="shared" si="80"/>
        <v>9440400</v>
      </c>
      <c r="D36" s="15">
        <f t="shared" si="80"/>
        <v>4604500</v>
      </c>
      <c r="E36" s="2">
        <f t="shared" si="96"/>
        <v>31262992.800000001</v>
      </c>
      <c r="F36" s="11">
        <f t="shared" si="13"/>
        <v>0.39300000000000002</v>
      </c>
      <c r="H36" s="2"/>
      <c r="J36" s="2">
        <f t="shared" si="97"/>
        <v>14707399.999999998</v>
      </c>
      <c r="K36" s="12">
        <f t="shared" ref="K36:K62" si="98">K35</f>
        <v>0.18488339350543559</v>
      </c>
      <c r="P36" s="15">
        <f>P35*(100%+$DA$67)</f>
        <v>79549600</v>
      </c>
      <c r="Q36" s="15">
        <f t="shared" si="70"/>
        <v>27578735390.293148</v>
      </c>
      <c r="R36" s="15">
        <f t="shared" si="81"/>
        <v>237516358581.71924</v>
      </c>
      <c r="S36" s="34">
        <f t="shared" si="48"/>
        <v>294.66192340675093</v>
      </c>
      <c r="T36" s="15">
        <f>T35*+(100%+$CU$50)</f>
        <v>25159.565122422697</v>
      </c>
      <c r="U36" s="34">
        <f t="shared" si="71"/>
        <v>346.68603475433122</v>
      </c>
      <c r="V36" s="15">
        <f t="shared" si="72"/>
        <v>1729</v>
      </c>
      <c r="W36" s="14">
        <f t="shared" si="49"/>
        <v>59</v>
      </c>
      <c r="X36" s="15">
        <f t="shared" si="50"/>
        <v>1379</v>
      </c>
      <c r="Y36" s="35">
        <f t="shared" si="51"/>
        <v>64</v>
      </c>
      <c r="Z36" s="14">
        <f t="shared" si="51"/>
        <v>227</v>
      </c>
      <c r="AA36" s="33">
        <f t="shared" si="21"/>
        <v>0.40020361338299459</v>
      </c>
      <c r="AB36" s="54">
        <f t="shared" si="82"/>
        <v>48.412000000000006</v>
      </c>
      <c r="AC36" s="15">
        <f t="shared" si="73"/>
        <v>5163</v>
      </c>
      <c r="AD36" s="14">
        <f t="shared" si="52"/>
        <v>171</v>
      </c>
      <c r="AE36" s="14">
        <f t="shared" si="53"/>
        <v>221</v>
      </c>
      <c r="AF36" s="15">
        <f t="shared" si="54"/>
        <v>3000</v>
      </c>
      <c r="AG36" s="14">
        <f t="shared" si="55"/>
        <v>83</v>
      </c>
      <c r="AH36" s="14">
        <f t="shared" si="55"/>
        <v>232</v>
      </c>
      <c r="AI36" s="14">
        <f t="shared" si="56"/>
        <v>472</v>
      </c>
      <c r="AJ36" s="14">
        <f t="shared" si="56"/>
        <v>306</v>
      </c>
      <c r="AK36" s="14">
        <f t="shared" si="57"/>
        <v>678</v>
      </c>
      <c r="AL36" s="54">
        <f t="shared" si="83"/>
        <v>144.56400000000002</v>
      </c>
      <c r="AM36" s="16">
        <f t="shared" si="22"/>
        <v>0.26290439097666235</v>
      </c>
      <c r="AN36" s="16">
        <f t="shared" si="23"/>
        <v>0.12629929467991233</v>
      </c>
      <c r="AO36" s="15">
        <f t="shared" si="74"/>
        <v>6892</v>
      </c>
      <c r="AP36" s="15">
        <f t="shared" si="75"/>
        <v>1255.8023888242997</v>
      </c>
      <c r="AQ36" s="15">
        <f t="shared" si="58"/>
        <v>1244.8023888242997</v>
      </c>
      <c r="AR36" s="35">
        <f t="shared" si="59"/>
        <v>9</v>
      </c>
      <c r="AS36" s="14">
        <f t="shared" si="60"/>
        <v>2</v>
      </c>
      <c r="AT36" s="47">
        <f t="shared" si="84"/>
        <v>35.162466887080392</v>
      </c>
      <c r="AU36" s="14">
        <f t="shared" si="61"/>
        <v>135</v>
      </c>
      <c r="AV36" s="14">
        <f t="shared" si="62"/>
        <v>20</v>
      </c>
      <c r="AW36" s="14">
        <f t="shared" si="62"/>
        <v>10</v>
      </c>
      <c r="AX36" s="14">
        <f t="shared" si="63"/>
        <v>5</v>
      </c>
      <c r="AY36" s="14">
        <f t="shared" si="64"/>
        <v>7</v>
      </c>
      <c r="AZ36" s="14">
        <f t="shared" si="65"/>
        <v>13</v>
      </c>
      <c r="BA36" s="14">
        <f t="shared" si="65"/>
        <v>10</v>
      </c>
      <c r="BB36" s="14">
        <f t="shared" si="66"/>
        <v>70</v>
      </c>
      <c r="BC36" s="47">
        <f t="shared" si="85"/>
        <v>3.7800000000000002</v>
      </c>
      <c r="BD36" s="14">
        <f t="shared" si="76"/>
        <v>20.399999999999999</v>
      </c>
      <c r="BE36" s="14">
        <f t="shared" si="67"/>
        <v>11.7</v>
      </c>
      <c r="BF36" s="14">
        <f t="shared" si="68"/>
        <v>8.6999999999999993</v>
      </c>
      <c r="BG36" s="1" t="s">
        <v>48</v>
      </c>
      <c r="BH36" s="47">
        <f t="shared" si="86"/>
        <v>5.4059999999999997</v>
      </c>
      <c r="BI36" s="14">
        <f t="shared" si="77"/>
        <v>31.5</v>
      </c>
      <c r="BJ36" s="14">
        <f t="shared" si="69"/>
        <v>21.2</v>
      </c>
      <c r="BK36" s="14">
        <f t="shared" si="69"/>
        <v>10.3</v>
      </c>
      <c r="BL36" s="2">
        <f t="shared" si="87"/>
        <v>2984.8023888242997</v>
      </c>
      <c r="BM36" s="2">
        <f t="shared" si="88"/>
        <v>5298</v>
      </c>
      <c r="BN36" s="9">
        <f t="shared" si="89"/>
        <v>88.980466887080397</v>
      </c>
      <c r="BO36" s="9">
        <f t="shared" si="90"/>
        <v>156.69149999999999</v>
      </c>
      <c r="BP36" s="16">
        <f t="shared" si="91"/>
        <v>0.82591413105174438</v>
      </c>
      <c r="BQ36" s="17">
        <f t="shared" si="92"/>
        <v>12.525781542963202</v>
      </c>
      <c r="BR36" s="5">
        <f t="shared" si="25"/>
        <v>65.110920000000078</v>
      </c>
      <c r="BS36" s="5">
        <f t="shared" si="26"/>
        <v>1.0920000000000005</v>
      </c>
      <c r="BT36">
        <f t="shared" si="93"/>
        <v>8.3475000000000001</v>
      </c>
      <c r="BU36" s="5">
        <f t="shared" si="34"/>
        <v>74.550420000000074</v>
      </c>
      <c r="BV36" s="5">
        <f t="shared" si="27"/>
        <v>43.662360000000007</v>
      </c>
      <c r="BW36" s="5">
        <f t="shared" si="28"/>
        <v>50.757974998474154</v>
      </c>
      <c r="BX36">
        <f t="shared" si="94"/>
        <v>5.4059999999999997</v>
      </c>
      <c r="BY36" s="5">
        <f t="shared" si="35"/>
        <v>99.826334998474167</v>
      </c>
      <c r="BZ36" s="5">
        <f t="shared" si="36"/>
        <v>174.37675499847424</v>
      </c>
      <c r="CA36" s="9">
        <f t="shared" si="78"/>
        <v>101.74460904827136</v>
      </c>
      <c r="CB36" s="9">
        <f t="shared" si="37"/>
        <v>8.1333751104102276</v>
      </c>
      <c r="CC36" s="16">
        <f t="shared" si="79"/>
        <v>23.621662690168829</v>
      </c>
      <c r="CD36" s="16">
        <f t="shared" si="38"/>
        <v>0.21925559279775927</v>
      </c>
      <c r="CE36" s="9">
        <f t="shared" si="39"/>
        <v>258.43610904827136</v>
      </c>
      <c r="CF36" s="9">
        <f t="shared" si="42"/>
        <v>3789.8646357240696</v>
      </c>
      <c r="CG36" s="9">
        <f t="shared" si="29"/>
        <v>20.659156653373429</v>
      </c>
      <c r="CH36" s="9">
        <f t="shared" si="30"/>
        <v>176.29502904827143</v>
      </c>
      <c r="CI36" s="9">
        <f t="shared" si="43"/>
        <v>2030.8895157240709</v>
      </c>
      <c r="CJ36" s="9">
        <f t="shared" si="40"/>
        <v>112.60212957724923</v>
      </c>
      <c r="CK36" s="9">
        <f t="shared" si="46"/>
        <v>1667.0271854695161</v>
      </c>
      <c r="CL36" s="9">
        <f t="shared" si="31"/>
        <v>1.0451697238495037</v>
      </c>
      <c r="CM36" s="9">
        <f t="shared" si="32"/>
        <v>123.447997688643</v>
      </c>
      <c r="CN36" s="9">
        <f t="shared" si="47"/>
        <v>1979.8323857324692</v>
      </c>
      <c r="CO36" s="9">
        <f t="shared" si="33"/>
        <v>299.74302673691443</v>
      </c>
      <c r="CP36" s="9">
        <f t="shared" si="44"/>
        <v>4010.7219014565399</v>
      </c>
      <c r="CR36" s="18" t="s">
        <v>83</v>
      </c>
      <c r="CS36" s="19" t="s">
        <v>79</v>
      </c>
      <c r="CT36" s="19" t="s">
        <v>80</v>
      </c>
      <c r="CU36" s="20">
        <v>-1.4999999999999999E-2</v>
      </c>
      <c r="CV36" s="28">
        <f>(AQ52-AQ43)/AQ43</f>
        <v>-0.12717721598056547</v>
      </c>
      <c r="CX36" s="18" t="s">
        <v>82</v>
      </c>
      <c r="CY36" s="19" t="s">
        <v>98</v>
      </c>
      <c r="CZ36" s="19" t="s">
        <v>81</v>
      </c>
      <c r="DA36" s="20">
        <v>0</v>
      </c>
      <c r="DB36" s="40">
        <f>((BK42+BJ42)-(BK38+BJ38))/(BJ38+BK38)</f>
        <v>0</v>
      </c>
    </row>
    <row r="37" spans="1:106" x14ac:dyDescent="0.3">
      <c r="A37" s="1">
        <v>2025</v>
      </c>
      <c r="B37" s="15">
        <f t="shared" si="95"/>
        <v>93594500</v>
      </c>
      <c r="C37" s="15">
        <f t="shared" si="80"/>
        <v>9440400</v>
      </c>
      <c r="D37" s="15">
        <f t="shared" si="80"/>
        <v>4604500</v>
      </c>
      <c r="E37" s="2">
        <f t="shared" si="96"/>
        <v>31262992.800000001</v>
      </c>
      <c r="F37" s="11">
        <f t="shared" si="13"/>
        <v>0.39300000000000002</v>
      </c>
      <c r="J37" s="2">
        <f t="shared" si="97"/>
        <v>14707399.999999998</v>
      </c>
      <c r="K37" s="12">
        <f t="shared" si="98"/>
        <v>0.18488339350543559</v>
      </c>
      <c r="P37" s="15">
        <f>P36*(100%+$DA$67)</f>
        <v>79549600</v>
      </c>
      <c r="Q37" s="15">
        <f t="shared" si="70"/>
        <v>27719127140.293148</v>
      </c>
      <c r="R37" s="15">
        <f t="shared" si="81"/>
        <v>240604071243.28156</v>
      </c>
      <c r="S37" s="34">
        <f t="shared" si="48"/>
        <v>296.16192340675093</v>
      </c>
      <c r="T37" s="15">
        <f>T36*+(100%+$CU$50)</f>
        <v>25486.63946901419</v>
      </c>
      <c r="U37" s="34">
        <f t="shared" si="71"/>
        <v>348.45086763846894</v>
      </c>
      <c r="V37" s="15">
        <f t="shared" si="72"/>
        <v>1729</v>
      </c>
      <c r="W37" s="14">
        <f t="shared" si="49"/>
        <v>59</v>
      </c>
      <c r="X37" s="15">
        <f t="shared" si="50"/>
        <v>1379</v>
      </c>
      <c r="Y37" s="35">
        <f t="shared" si="51"/>
        <v>64</v>
      </c>
      <c r="Z37" s="14">
        <f t="shared" si="51"/>
        <v>227</v>
      </c>
      <c r="AA37" s="33">
        <f t="shared" si="21"/>
        <v>0.40020361338299459</v>
      </c>
      <c r="AB37" s="54">
        <f t="shared" si="82"/>
        <v>48.412000000000006</v>
      </c>
      <c r="AC37" s="15">
        <f t="shared" si="73"/>
        <v>5163</v>
      </c>
      <c r="AD37" s="14">
        <f t="shared" si="52"/>
        <v>171</v>
      </c>
      <c r="AE37" s="14">
        <f t="shared" si="53"/>
        <v>221</v>
      </c>
      <c r="AF37" s="15">
        <f t="shared" si="54"/>
        <v>3000</v>
      </c>
      <c r="AG37" s="14">
        <f t="shared" si="55"/>
        <v>83</v>
      </c>
      <c r="AH37" s="14">
        <f t="shared" si="55"/>
        <v>232</v>
      </c>
      <c r="AI37" s="14">
        <f t="shared" si="56"/>
        <v>472</v>
      </c>
      <c r="AJ37" s="14">
        <f t="shared" si="56"/>
        <v>306</v>
      </c>
      <c r="AK37" s="14">
        <f t="shared" si="57"/>
        <v>678</v>
      </c>
      <c r="AL37" s="54">
        <f t="shared" si="83"/>
        <v>144.56400000000002</v>
      </c>
      <c r="AM37" s="16">
        <f t="shared" si="22"/>
        <v>0.26290439097666235</v>
      </c>
      <c r="AN37" s="16">
        <f t="shared" si="23"/>
        <v>0.12629929467991233</v>
      </c>
      <c r="AO37" s="15">
        <f t="shared" si="74"/>
        <v>6892</v>
      </c>
      <c r="AP37" s="15">
        <f t="shared" si="75"/>
        <v>1250.8231792690024</v>
      </c>
      <c r="AQ37" s="15">
        <f t="shared" si="58"/>
        <v>1239.8231792690024</v>
      </c>
      <c r="AR37" s="35">
        <f t="shared" si="59"/>
        <v>9</v>
      </c>
      <c r="AS37" s="14">
        <f t="shared" si="60"/>
        <v>2</v>
      </c>
      <c r="AT37" s="47">
        <f t="shared" si="84"/>
        <v>35.023049019532067</v>
      </c>
      <c r="AU37" s="14">
        <f t="shared" si="61"/>
        <v>135</v>
      </c>
      <c r="AV37" s="14">
        <f t="shared" si="62"/>
        <v>20</v>
      </c>
      <c r="AW37" s="14">
        <f t="shared" si="62"/>
        <v>10</v>
      </c>
      <c r="AX37" s="14">
        <f t="shared" si="63"/>
        <v>5</v>
      </c>
      <c r="AY37" s="14">
        <f t="shared" si="64"/>
        <v>7</v>
      </c>
      <c r="AZ37" s="14">
        <f t="shared" si="65"/>
        <v>13</v>
      </c>
      <c r="BA37" s="14">
        <f t="shared" si="65"/>
        <v>10</v>
      </c>
      <c r="BB37" s="14">
        <f t="shared" si="66"/>
        <v>70</v>
      </c>
      <c r="BC37" s="47">
        <f t="shared" si="85"/>
        <v>3.7800000000000002</v>
      </c>
      <c r="BD37" s="14">
        <f t="shared" si="76"/>
        <v>20.399999999999999</v>
      </c>
      <c r="BE37" s="14">
        <f t="shared" si="67"/>
        <v>11.7</v>
      </c>
      <c r="BF37" s="14">
        <f t="shared" si="68"/>
        <v>8.6999999999999993</v>
      </c>
      <c r="BG37" s="1" t="s">
        <v>48</v>
      </c>
      <c r="BH37" s="47">
        <f t="shared" si="86"/>
        <v>5.4059999999999997</v>
      </c>
      <c r="BI37" s="14">
        <f t="shared" si="77"/>
        <v>31.5</v>
      </c>
      <c r="BJ37" s="14">
        <f t="shared" si="69"/>
        <v>21.2</v>
      </c>
      <c r="BK37" s="14">
        <f t="shared" si="69"/>
        <v>10.3</v>
      </c>
      <c r="BL37" s="2">
        <f t="shared" si="87"/>
        <v>2979.8231792690021</v>
      </c>
      <c r="BM37" s="2">
        <f t="shared" si="88"/>
        <v>5298</v>
      </c>
      <c r="BN37" s="9">
        <f t="shared" si="89"/>
        <v>88.841049019532065</v>
      </c>
      <c r="BO37" s="9">
        <f t="shared" si="90"/>
        <v>156.69149999999999</v>
      </c>
      <c r="BP37" s="16">
        <f t="shared" si="91"/>
        <v>0.81403757001019506</v>
      </c>
      <c r="BQ37" s="17">
        <f t="shared" si="92"/>
        <v>12.462341003077727</v>
      </c>
      <c r="BR37" s="5">
        <f t="shared" si="25"/>
        <v>59.041920000000118</v>
      </c>
      <c r="BS37" s="5">
        <f t="shared" si="26"/>
        <v>0.61600000000000144</v>
      </c>
      <c r="BT37">
        <f t="shared" si="93"/>
        <v>8.3475000000000001</v>
      </c>
      <c r="BU37" s="5">
        <f t="shared" si="34"/>
        <v>68.005420000000115</v>
      </c>
      <c r="BV37" s="5">
        <f t="shared" si="27"/>
        <v>40.449360000000013</v>
      </c>
      <c r="BW37" s="5">
        <f t="shared" si="28"/>
        <v>43.224412058480254</v>
      </c>
      <c r="BX37">
        <f t="shared" si="94"/>
        <v>5.4059999999999997</v>
      </c>
      <c r="BY37" s="5">
        <f t="shared" si="35"/>
        <v>89.079772058480273</v>
      </c>
      <c r="BZ37" s="5">
        <f t="shared" si="36"/>
        <v>157.0851920584804</v>
      </c>
      <c r="CA37" s="9">
        <f t="shared" si="78"/>
        <v>101.74460904827136</v>
      </c>
      <c r="CB37" s="9">
        <f t="shared" si="37"/>
        <v>8.0921812171329357</v>
      </c>
      <c r="CC37" s="16">
        <f t="shared" si="79"/>
        <v>23.621662690168829</v>
      </c>
      <c r="CD37" s="16">
        <f t="shared" si="38"/>
        <v>0.21644184876382949</v>
      </c>
      <c r="CE37" s="9">
        <f t="shared" si="39"/>
        <v>258.43610904827136</v>
      </c>
      <c r="CF37" s="9">
        <f t="shared" si="42"/>
        <v>4048.3007447723407</v>
      </c>
      <c r="CG37" s="9">
        <f t="shared" si="29"/>
        <v>20.554522220210661</v>
      </c>
      <c r="CH37" s="9">
        <f t="shared" si="30"/>
        <v>169.75002904827147</v>
      </c>
      <c r="CI37" s="9">
        <f t="shared" si="43"/>
        <v>2200.6395447723426</v>
      </c>
      <c r="CJ37" s="9">
        <f t="shared" si="40"/>
        <v>112.4627117097009</v>
      </c>
      <c r="CK37" s="9">
        <f t="shared" si="46"/>
        <v>1779.489897179217</v>
      </c>
      <c r="CL37" s="9">
        <f t="shared" si="31"/>
        <v>1.0304794187740245</v>
      </c>
      <c r="CM37" s="9">
        <f t="shared" si="32"/>
        <v>112.70143474864911</v>
      </c>
      <c r="CN37" s="9">
        <f t="shared" si="47"/>
        <v>2092.5338204811183</v>
      </c>
      <c r="CO37" s="9">
        <f t="shared" si="33"/>
        <v>282.45146379692056</v>
      </c>
      <c r="CP37" s="9">
        <f t="shared" si="44"/>
        <v>4293.1733652534604</v>
      </c>
      <c r="CR37" s="18" t="s">
        <v>83</v>
      </c>
      <c r="CS37" s="19" t="s">
        <v>75</v>
      </c>
      <c r="CT37" s="19" t="s">
        <v>81</v>
      </c>
      <c r="CU37" s="20">
        <v>0</v>
      </c>
      <c r="CV37" s="28" t="s">
        <v>92</v>
      </c>
      <c r="CX37" s="18" t="s">
        <v>83</v>
      </c>
      <c r="CY37" s="19" t="s">
        <v>95</v>
      </c>
      <c r="CZ37" s="19" t="s">
        <v>77</v>
      </c>
      <c r="DA37" s="20">
        <v>-0.01</v>
      </c>
      <c r="DB37" s="40">
        <f>(AF52-AF43)/AF43</f>
        <v>-8.6482752516359243E-2</v>
      </c>
    </row>
    <row r="38" spans="1:106" x14ac:dyDescent="0.3">
      <c r="A38" s="1">
        <v>2026</v>
      </c>
      <c r="B38" s="15">
        <f t="shared" si="95"/>
        <v>93594500</v>
      </c>
      <c r="C38" s="15">
        <f t="shared" ref="C38:D42" si="99">C37*(100%+$CU$56)</f>
        <v>9440400</v>
      </c>
      <c r="D38" s="15">
        <f t="shared" si="99"/>
        <v>4604500</v>
      </c>
      <c r="E38" s="2">
        <f t="shared" si="96"/>
        <v>31262992.800000001</v>
      </c>
      <c r="F38" s="11">
        <f t="shared" si="13"/>
        <v>0.39300000000000002</v>
      </c>
      <c r="J38" s="2">
        <f t="shared" si="97"/>
        <v>14707399.999999998</v>
      </c>
      <c r="K38" s="12">
        <f t="shared" si="98"/>
        <v>0.18488339350543559</v>
      </c>
      <c r="P38" s="15">
        <f>P37*(100%+$DA$68)</f>
        <v>79549600</v>
      </c>
      <c r="Q38" s="15">
        <f t="shared" si="70"/>
        <v>27859518890.293148</v>
      </c>
      <c r="R38" s="15">
        <f t="shared" si="81"/>
        <v>243731924169.44421</v>
      </c>
      <c r="S38" s="34">
        <f>S37+$DA$63</f>
        <v>297.66192340675093</v>
      </c>
      <c r="T38" s="15">
        <f>T37*(100%+$CU$51)</f>
        <v>25817.965782111372</v>
      </c>
      <c r="U38" s="34">
        <f t="shared" si="71"/>
        <v>350.21570052260665</v>
      </c>
      <c r="V38" s="15">
        <f t="shared" si="72"/>
        <v>1728.54493</v>
      </c>
      <c r="W38" s="14">
        <f>W37*(100%+$CU$22)</f>
        <v>59</v>
      </c>
      <c r="X38" s="15">
        <f>X37*(100%+$CU$24)</f>
        <v>1378.54493</v>
      </c>
      <c r="Y38" s="35">
        <f t="shared" ref="Y38:Z42" si="100">Y37*(100%+$CU$23)</f>
        <v>64</v>
      </c>
      <c r="Z38" s="14">
        <f t="shared" si="100"/>
        <v>227</v>
      </c>
      <c r="AA38" s="33">
        <f t="shared" si="21"/>
        <v>0.40007154619057816</v>
      </c>
      <c r="AB38" s="54">
        <f t="shared" si="82"/>
        <v>48.399258039999999</v>
      </c>
      <c r="AC38" s="15">
        <f t="shared" si="73"/>
        <v>5159.6099999999997</v>
      </c>
      <c r="AD38" s="14">
        <f>AD37*(100%+$DA$26)</f>
        <v>171</v>
      </c>
      <c r="AE38" s="14">
        <f>AE37*(100%+$DA$30)</f>
        <v>221</v>
      </c>
      <c r="AF38" s="14">
        <f>AF37*(100%+$DA$25)</f>
        <v>3000</v>
      </c>
      <c r="AG38" s="14">
        <f t="shared" ref="AG38:AH42" si="101">AG37*(100%+$DA$27)</f>
        <v>83</v>
      </c>
      <c r="AH38" s="14">
        <f t="shared" si="101"/>
        <v>232</v>
      </c>
      <c r="AI38" s="14">
        <f t="shared" ref="AI38:AJ42" si="102">AI37*(100%+$DA$28)</f>
        <v>472</v>
      </c>
      <c r="AJ38" s="14">
        <f t="shared" si="102"/>
        <v>306</v>
      </c>
      <c r="AK38" s="14">
        <f>AK37*(100%+$DA$29)</f>
        <v>674.61</v>
      </c>
      <c r="AL38" s="54">
        <f t="shared" si="83"/>
        <v>144.46907999999999</v>
      </c>
      <c r="AM38" s="16">
        <f t="shared" si="22"/>
        <v>0.26290439097666235</v>
      </c>
      <c r="AN38" s="16">
        <f t="shared" si="23"/>
        <v>0.12566779820651278</v>
      </c>
      <c r="AO38" s="15">
        <f t="shared" si="74"/>
        <v>6888.1549299999997</v>
      </c>
      <c r="AP38" s="15">
        <f t="shared" si="75"/>
        <v>1238.4249474763124</v>
      </c>
      <c r="AQ38" s="15">
        <f>AQ37*(100%+$CU$27)</f>
        <v>1227.4249474763124</v>
      </c>
      <c r="AR38" s="35">
        <f>AR37*(100%+$CU$26)</f>
        <v>9</v>
      </c>
      <c r="AS38" s="14">
        <f>AS37*(100%+$CU$25)</f>
        <v>2</v>
      </c>
      <c r="AT38" s="47">
        <f t="shared" si="84"/>
        <v>34.675898529336742</v>
      </c>
      <c r="AU38" s="14">
        <f t="shared" si="61"/>
        <v>135</v>
      </c>
      <c r="AV38" s="14">
        <f t="shared" ref="AV38:AW42" si="103">AV37*(100%+$DA$34)</f>
        <v>20</v>
      </c>
      <c r="AW38" s="14">
        <f t="shared" si="103"/>
        <v>10</v>
      </c>
      <c r="AX38" s="14">
        <f>AX37*(100%+$DA$35)</f>
        <v>5</v>
      </c>
      <c r="AY38" s="14">
        <f>AY37*(100%+$DA$32)</f>
        <v>7</v>
      </c>
      <c r="AZ38" s="14">
        <f t="shared" ref="AZ38:BA42" si="104">AZ37*(100%+$DA$33)</f>
        <v>13</v>
      </c>
      <c r="BA38" s="14">
        <f t="shared" si="104"/>
        <v>10</v>
      </c>
      <c r="BB38" s="14">
        <f>BB37*(100%+$DA$31)</f>
        <v>70</v>
      </c>
      <c r="BC38" s="47">
        <f t="shared" si="85"/>
        <v>3.7800000000000002</v>
      </c>
      <c r="BD38" s="14">
        <f t="shared" si="76"/>
        <v>20.399999999999999</v>
      </c>
      <c r="BE38" s="14">
        <f>BE37*(100%+$CU$30)</f>
        <v>11.7</v>
      </c>
      <c r="BF38" s="14">
        <f>BF37*(100%+$CU$29)</f>
        <v>8.6999999999999993</v>
      </c>
      <c r="BG38" s="1" t="s">
        <v>48</v>
      </c>
      <c r="BH38" s="47">
        <f t="shared" si="86"/>
        <v>5.4059999999999997</v>
      </c>
      <c r="BI38" s="14">
        <f t="shared" si="77"/>
        <v>31.5</v>
      </c>
      <c r="BJ38" s="14">
        <f t="shared" ref="BJ38:BK42" si="105">BJ37*(100%+$DA$36)</f>
        <v>21.2</v>
      </c>
      <c r="BK38" s="14">
        <f t="shared" si="105"/>
        <v>10.3</v>
      </c>
      <c r="BL38" s="2">
        <f t="shared" si="87"/>
        <v>2966.9698774763124</v>
      </c>
      <c r="BM38" s="2">
        <f t="shared" si="88"/>
        <v>5294.61</v>
      </c>
      <c r="BN38" s="9">
        <f t="shared" si="89"/>
        <v>88.481156569336747</v>
      </c>
      <c r="BO38" s="9">
        <f t="shared" si="90"/>
        <v>156.59657999999999</v>
      </c>
      <c r="BP38" s="16">
        <f t="shared" si="91"/>
        <v>0.80033556564497854</v>
      </c>
      <c r="BQ38" s="17">
        <f t="shared" si="92"/>
        <v>12.392028504120635</v>
      </c>
      <c r="BR38" s="5">
        <f t="shared" si="25"/>
        <v>49.805932399999961</v>
      </c>
      <c r="BS38" s="5">
        <f t="shared" si="26"/>
        <v>0.14000000000000057</v>
      </c>
      <c r="BT38">
        <f t="shared" si="93"/>
        <v>8.3475000000000001</v>
      </c>
      <c r="BU38" s="5">
        <f t="shared" si="34"/>
        <v>58.293432399999958</v>
      </c>
      <c r="BV38" s="5">
        <f t="shared" si="27"/>
        <v>36.70263892120002</v>
      </c>
      <c r="BW38" s="5">
        <f t="shared" si="28"/>
        <v>39.271820337895434</v>
      </c>
      <c r="BX38">
        <f t="shared" si="94"/>
        <v>5.4059999999999997</v>
      </c>
      <c r="BY38" s="5">
        <f t="shared" si="35"/>
        <v>81.38045925909546</v>
      </c>
      <c r="BZ38" s="5">
        <f t="shared" si="36"/>
        <v>139.67389165909543</v>
      </c>
      <c r="CA38" s="9">
        <f>CA37*(1+$DA$73)</f>
        <v>100.98152448040933</v>
      </c>
      <c r="CB38" s="9">
        <f t="shared" si="37"/>
        <v>7.9910169797500572</v>
      </c>
      <c r="CC38" s="16">
        <f>CC37*(1+$CU$61)</f>
        <v>23.444500219992566</v>
      </c>
      <c r="CD38" s="16">
        <f t="shared" si="38"/>
        <v>0.21206173237719719</v>
      </c>
      <c r="CE38" s="9">
        <f t="shared" si="39"/>
        <v>257.57810448040931</v>
      </c>
      <c r="CF38" s="9">
        <f t="shared" si="42"/>
        <v>4305.8788492527501</v>
      </c>
      <c r="CG38" s="9">
        <f t="shared" si="29"/>
        <v>20.383045483870688</v>
      </c>
      <c r="CH38" s="9">
        <f t="shared" si="30"/>
        <v>159.27495688040929</v>
      </c>
      <c r="CI38" s="9">
        <f t="shared" si="43"/>
        <v>2359.9145016527518</v>
      </c>
      <c r="CJ38" s="9">
        <f t="shared" si="40"/>
        <v>111.92565678932931</v>
      </c>
      <c r="CK38" s="9">
        <f t="shared" si="46"/>
        <v>1891.4155539685462</v>
      </c>
      <c r="CL38" s="9">
        <f t="shared" si="31"/>
        <v>1.0123972980221758</v>
      </c>
      <c r="CM38" s="9">
        <f t="shared" si="32"/>
        <v>104.82495947908802</v>
      </c>
      <c r="CN38" s="9">
        <f t="shared" si="47"/>
        <v>2197.3587799602064</v>
      </c>
      <c r="CO38" s="9">
        <f t="shared" si="33"/>
        <v>264.09991635949734</v>
      </c>
      <c r="CP38" s="9">
        <f t="shared" si="44"/>
        <v>4557.2732816129574</v>
      </c>
      <c r="CR38" s="18" t="s">
        <v>83</v>
      </c>
      <c r="CS38" s="19" t="s">
        <v>78</v>
      </c>
      <c r="CT38" s="19" t="s">
        <v>81</v>
      </c>
      <c r="CU38" s="20">
        <v>0</v>
      </c>
      <c r="CV38" s="28">
        <f>(BF52-BF43)/BF43</f>
        <v>0</v>
      </c>
      <c r="CX38" s="18" t="s">
        <v>83</v>
      </c>
      <c r="CY38" s="19" t="s">
        <v>99</v>
      </c>
      <c r="CZ38" s="19" t="s">
        <v>77</v>
      </c>
      <c r="DA38" s="20">
        <v>-0.01</v>
      </c>
      <c r="DB38" s="40">
        <f>(AD52-AD43)/AD43</f>
        <v>-8.6482752516358896E-2</v>
      </c>
    </row>
    <row r="39" spans="1:106" x14ac:dyDescent="0.3">
      <c r="A39" s="1">
        <v>2027</v>
      </c>
      <c r="B39" s="15">
        <f t="shared" si="95"/>
        <v>93594500</v>
      </c>
      <c r="C39" s="15">
        <f t="shared" si="99"/>
        <v>9440400</v>
      </c>
      <c r="D39" s="15">
        <f t="shared" si="99"/>
        <v>4604500</v>
      </c>
      <c r="E39" s="2">
        <f t="shared" si="96"/>
        <v>31262992.800000001</v>
      </c>
      <c r="F39" s="11">
        <f t="shared" si="13"/>
        <v>0.39300000000000002</v>
      </c>
      <c r="J39" s="2">
        <f t="shared" si="97"/>
        <v>14707399.999999998</v>
      </c>
      <c r="K39" s="12">
        <f t="shared" si="98"/>
        <v>0.18488339350543559</v>
      </c>
      <c r="P39" s="15">
        <f>P38*(100%+$DA$68)</f>
        <v>79549600</v>
      </c>
      <c r="Q39" s="15">
        <f t="shared" si="70"/>
        <v>27999910640.293148</v>
      </c>
      <c r="R39" s="15">
        <f t="shared" si="81"/>
        <v>246900439183.64694</v>
      </c>
      <c r="S39" s="34">
        <f>S38+$DA$63</f>
        <v>299.16192340675093</v>
      </c>
      <c r="T39" s="15">
        <f>T38*(100%+$CU$51)</f>
        <v>26153.599337278818</v>
      </c>
      <c r="U39" s="34">
        <f t="shared" si="71"/>
        <v>351.98053340674431</v>
      </c>
      <c r="V39" s="15">
        <f t="shared" si="72"/>
        <v>1728.0900101730999</v>
      </c>
      <c r="W39" s="14">
        <f>W38*(100%+$CU$22)</f>
        <v>59</v>
      </c>
      <c r="X39" s="15">
        <f>X38*(100%+$CU$24)</f>
        <v>1378.0900101730999</v>
      </c>
      <c r="Y39" s="35">
        <f t="shared" si="100"/>
        <v>64</v>
      </c>
      <c r="Z39" s="14">
        <f t="shared" si="100"/>
        <v>227</v>
      </c>
      <c r="AA39" s="33">
        <f t="shared" si="21"/>
        <v>0.39993952258033533</v>
      </c>
      <c r="AB39" s="54">
        <f t="shared" si="82"/>
        <v>48.386520284846796</v>
      </c>
      <c r="AC39" s="15">
        <f t="shared" si="73"/>
        <v>5156.2369500000004</v>
      </c>
      <c r="AD39" s="14">
        <f>AD38*(100%+$DA$26)</f>
        <v>171</v>
      </c>
      <c r="AE39" s="14">
        <f>AE38*(100%+$DA$30)</f>
        <v>221</v>
      </c>
      <c r="AF39" s="14">
        <f>AF38*(100%+$DA$25)</f>
        <v>3000</v>
      </c>
      <c r="AG39" s="14">
        <f t="shared" si="101"/>
        <v>83</v>
      </c>
      <c r="AH39" s="14">
        <f t="shared" si="101"/>
        <v>232</v>
      </c>
      <c r="AI39" s="14">
        <f t="shared" si="102"/>
        <v>472</v>
      </c>
      <c r="AJ39" s="14">
        <f t="shared" si="102"/>
        <v>306</v>
      </c>
      <c r="AK39" s="14">
        <f>AK38*(100%+$DA$29)</f>
        <v>671.23694999999998</v>
      </c>
      <c r="AL39" s="54">
        <f t="shared" si="83"/>
        <v>144.37463460000001</v>
      </c>
      <c r="AM39" s="16">
        <f t="shared" si="22"/>
        <v>0.26290439097666235</v>
      </c>
      <c r="AN39" s="16">
        <f t="shared" si="23"/>
        <v>0.12503945921548021</v>
      </c>
      <c r="AO39" s="15">
        <f t="shared" si="74"/>
        <v>6884.3269601731008</v>
      </c>
      <c r="AP39" s="15">
        <f t="shared" si="75"/>
        <v>1226.1506980015492</v>
      </c>
      <c r="AQ39" s="15">
        <f>AQ38*(100%+$CU$27)</f>
        <v>1215.1506980015492</v>
      </c>
      <c r="AR39" s="35">
        <f>AR38*(100%+$CU$26)</f>
        <v>9</v>
      </c>
      <c r="AS39" s="14">
        <f>AS38*(100%+$CU$25)</f>
        <v>2</v>
      </c>
      <c r="AT39" s="47">
        <f t="shared" si="84"/>
        <v>34.332219544043383</v>
      </c>
      <c r="AU39" s="14">
        <f t="shared" si="61"/>
        <v>135</v>
      </c>
      <c r="AV39" s="14">
        <f t="shared" si="103"/>
        <v>20</v>
      </c>
      <c r="AW39" s="14">
        <f t="shared" si="103"/>
        <v>10</v>
      </c>
      <c r="AX39" s="14">
        <f>AX38*(100%+$DA$35)</f>
        <v>5</v>
      </c>
      <c r="AY39" s="14">
        <f>AY38*(100%+$DA$32)</f>
        <v>7</v>
      </c>
      <c r="AZ39" s="14">
        <f t="shared" si="104"/>
        <v>13</v>
      </c>
      <c r="BA39" s="14">
        <f t="shared" si="104"/>
        <v>10</v>
      </c>
      <c r="BB39" s="14">
        <f>BB38*(100%+$DA$31)</f>
        <v>70</v>
      </c>
      <c r="BC39" s="47">
        <f t="shared" si="85"/>
        <v>3.7800000000000002</v>
      </c>
      <c r="BD39" s="14">
        <f t="shared" si="76"/>
        <v>20.399999999999999</v>
      </c>
      <c r="BE39" s="14">
        <f>BE38*(100%+$CU$30)</f>
        <v>11.7</v>
      </c>
      <c r="BF39" s="14">
        <f>BF38*(100%+$CU$29)</f>
        <v>8.6999999999999993</v>
      </c>
      <c r="BG39" s="1" t="s">
        <v>48</v>
      </c>
      <c r="BH39" s="47">
        <f t="shared" si="86"/>
        <v>5.4059999999999997</v>
      </c>
      <c r="BI39" s="14">
        <f t="shared" si="77"/>
        <v>31.5</v>
      </c>
      <c r="BJ39" s="14">
        <f t="shared" si="105"/>
        <v>21.2</v>
      </c>
      <c r="BK39" s="14">
        <f t="shared" si="105"/>
        <v>10.3</v>
      </c>
      <c r="BL39" s="2">
        <f t="shared" si="87"/>
        <v>2954.2407081746492</v>
      </c>
      <c r="BM39" s="2">
        <f t="shared" si="88"/>
        <v>5291.2369500000004</v>
      </c>
      <c r="BN39" s="9">
        <f t="shared" si="89"/>
        <v>88.124739828890185</v>
      </c>
      <c r="BO39" s="9">
        <f t="shared" si="90"/>
        <v>156.50213460000001</v>
      </c>
      <c r="BP39" s="16">
        <f t="shared" si="91"/>
        <v>0.78688221278156312</v>
      </c>
      <c r="BQ39" s="17">
        <f t="shared" si="92"/>
        <v>12.322458468326014</v>
      </c>
      <c r="BR39" s="5">
        <f t="shared" si="25"/>
        <v>44.380094738000139</v>
      </c>
      <c r="BS39" s="5">
        <f t="shared" si="26"/>
        <v>0.49700000000000166</v>
      </c>
      <c r="BT39">
        <f t="shared" si="93"/>
        <v>8.3475000000000001</v>
      </c>
      <c r="BU39" s="5">
        <f t="shared" si="34"/>
        <v>53.224594738000135</v>
      </c>
      <c r="BV39" s="5">
        <f t="shared" si="27"/>
        <v>28.671936890355994</v>
      </c>
      <c r="BW39" s="5">
        <f t="shared" si="28"/>
        <v>24.02995453451652</v>
      </c>
      <c r="BX39">
        <f t="shared" si="94"/>
        <v>5.4059999999999997</v>
      </c>
      <c r="BY39" s="5">
        <f t="shared" si="35"/>
        <v>58.107891424872513</v>
      </c>
      <c r="BZ39" s="5">
        <f t="shared" si="36"/>
        <v>111.33248616287264</v>
      </c>
      <c r="CA39" s="9">
        <f t="shared" ref="CA39:CA42" si="106">CA38*(1+$DA$73)</f>
        <v>100.22416304680627</v>
      </c>
      <c r="CB39" s="9">
        <f t="shared" si="37"/>
        <v>7.8913178393606724</v>
      </c>
      <c r="CC39" s="16">
        <f t="shared" ref="CC39:CC42" si="107">CC38*(1+$CU$61)</f>
        <v>23.268666468342623</v>
      </c>
      <c r="CD39" s="16">
        <f t="shared" si="38"/>
        <v>0.20777025605564492</v>
      </c>
      <c r="CE39" s="9">
        <f t="shared" si="39"/>
        <v>256.7262976468063</v>
      </c>
      <c r="CF39" s="9">
        <f t="shared" si="42"/>
        <v>4562.6051468995565</v>
      </c>
      <c r="CG39" s="9">
        <f t="shared" si="29"/>
        <v>20.21377630768669</v>
      </c>
      <c r="CH39" s="9">
        <f t="shared" si="30"/>
        <v>153.44875778480639</v>
      </c>
      <c r="CI39" s="9">
        <f t="shared" si="43"/>
        <v>2513.3632594375581</v>
      </c>
      <c r="CJ39" s="9">
        <f t="shared" si="40"/>
        <v>111.39340629723281</v>
      </c>
      <c r="CK39" s="9">
        <f t="shared" si="46"/>
        <v>2002.808960265779</v>
      </c>
      <c r="CL39" s="9">
        <f t="shared" si="31"/>
        <v>0.99465246883720815</v>
      </c>
      <c r="CM39" s="9">
        <f t="shared" si="32"/>
        <v>81.376557893215136</v>
      </c>
      <c r="CN39" s="9">
        <f t="shared" si="47"/>
        <v>2278.7353378534217</v>
      </c>
      <c r="CO39" s="9">
        <f t="shared" si="33"/>
        <v>234.82531567802152</v>
      </c>
      <c r="CP39" s="9">
        <f t="shared" si="44"/>
        <v>4792.0985972909784</v>
      </c>
      <c r="CR39" s="18" t="s">
        <v>83</v>
      </c>
      <c r="CS39" s="19" t="s">
        <v>79</v>
      </c>
      <c r="CT39" s="19" t="s">
        <v>81</v>
      </c>
      <c r="CU39" s="20">
        <v>0</v>
      </c>
      <c r="CV39" s="28">
        <f>(BE52-BE43)/BE43</f>
        <v>0</v>
      </c>
      <c r="CX39" s="18" t="s">
        <v>83</v>
      </c>
      <c r="CY39" s="19" t="s">
        <v>96</v>
      </c>
      <c r="CZ39" s="19" t="s">
        <v>77</v>
      </c>
      <c r="DA39" s="20">
        <v>-0.01</v>
      </c>
      <c r="DB39" s="40">
        <f>((AH52+AG52)-(AH43+AG43))/(AG43+AH43)</f>
        <v>-8.6482752516359257E-2</v>
      </c>
    </row>
    <row r="40" spans="1:106" x14ac:dyDescent="0.3">
      <c r="A40" s="1">
        <v>2028</v>
      </c>
      <c r="B40" s="15">
        <f t="shared" si="95"/>
        <v>93594500</v>
      </c>
      <c r="C40" s="15">
        <f t="shared" si="99"/>
        <v>9440400</v>
      </c>
      <c r="D40" s="15">
        <f t="shared" si="99"/>
        <v>4604500</v>
      </c>
      <c r="E40" s="2">
        <f t="shared" si="96"/>
        <v>31262992.800000001</v>
      </c>
      <c r="F40" s="11">
        <f t="shared" si="13"/>
        <v>0.39300000000000002</v>
      </c>
      <c r="J40" s="2">
        <f t="shared" si="97"/>
        <v>14707399.999999998</v>
      </c>
      <c r="K40" s="12">
        <f t="shared" si="98"/>
        <v>0.18488339350543559</v>
      </c>
      <c r="P40" s="15">
        <f>P39*(100%+$DA$68)</f>
        <v>79549600</v>
      </c>
      <c r="Q40" s="15">
        <f t="shared" si="70"/>
        <v>28140302390.293148</v>
      </c>
      <c r="R40" s="15">
        <f t="shared" si="81"/>
        <v>250110144893.03436</v>
      </c>
      <c r="S40" s="34">
        <f>S39+$DA$63</f>
        <v>300.66192340675093</v>
      </c>
      <c r="T40" s="15">
        <f>T39*(100%+$CU$51)</f>
        <v>26493.596128663441</v>
      </c>
      <c r="U40" s="34">
        <f t="shared" si="71"/>
        <v>353.74536629088203</v>
      </c>
      <c r="V40" s="15">
        <f t="shared" si="72"/>
        <v>1727.6352404697427</v>
      </c>
      <c r="W40" s="14">
        <f>W39*(100%+$CU$22)</f>
        <v>59</v>
      </c>
      <c r="X40" s="15">
        <f>X39*(100%+$CU$24)</f>
        <v>1377.6352404697427</v>
      </c>
      <c r="Y40" s="35">
        <f t="shared" si="100"/>
        <v>64</v>
      </c>
      <c r="Z40" s="14">
        <f t="shared" si="100"/>
        <v>227</v>
      </c>
      <c r="AA40" s="33">
        <f t="shared" si="21"/>
        <v>0.39980754253788375</v>
      </c>
      <c r="AB40" s="54">
        <f t="shared" si="82"/>
        <v>48.373786733152798</v>
      </c>
      <c r="AC40" s="15">
        <f t="shared" si="73"/>
        <v>5152.88076525</v>
      </c>
      <c r="AD40" s="14">
        <f>AD39*(100%+$DA$26)</f>
        <v>171</v>
      </c>
      <c r="AE40" s="14">
        <f>AE39*(100%+$DA$30)</f>
        <v>221</v>
      </c>
      <c r="AF40" s="14">
        <f>AF39*(100%+$DA$25)</f>
        <v>3000</v>
      </c>
      <c r="AG40" s="14">
        <f t="shared" si="101"/>
        <v>83</v>
      </c>
      <c r="AH40" s="14">
        <f t="shared" si="101"/>
        <v>232</v>
      </c>
      <c r="AI40" s="14">
        <f t="shared" si="102"/>
        <v>472</v>
      </c>
      <c r="AJ40" s="14">
        <f t="shared" si="102"/>
        <v>306</v>
      </c>
      <c r="AK40" s="14">
        <f>AK39*(100%+$DA$29)</f>
        <v>667.88076524999997</v>
      </c>
      <c r="AL40" s="54">
        <f t="shared" si="83"/>
        <v>144.28066142699998</v>
      </c>
      <c r="AM40" s="16">
        <f t="shared" si="22"/>
        <v>0.26290439097666235</v>
      </c>
      <c r="AN40" s="16">
        <f t="shared" si="23"/>
        <v>0.1244142619194028</v>
      </c>
      <c r="AO40" s="15">
        <f t="shared" si="74"/>
        <v>6880.5160057197427</v>
      </c>
      <c r="AP40" s="15">
        <f t="shared" si="75"/>
        <v>1213.9991910215338</v>
      </c>
      <c r="AQ40" s="15">
        <f>AQ39*(100%+$CU$27)</f>
        <v>1202.9991910215338</v>
      </c>
      <c r="AR40" s="35">
        <f>AR39*(100%+$CU$26)</f>
        <v>9</v>
      </c>
      <c r="AS40" s="14">
        <f>AS39*(100%+$CU$25)</f>
        <v>2</v>
      </c>
      <c r="AT40" s="47">
        <f t="shared" si="84"/>
        <v>33.991977348602944</v>
      </c>
      <c r="AU40" s="14">
        <f t="shared" si="61"/>
        <v>135</v>
      </c>
      <c r="AV40" s="14">
        <f t="shared" si="103"/>
        <v>20</v>
      </c>
      <c r="AW40" s="14">
        <f t="shared" si="103"/>
        <v>10</v>
      </c>
      <c r="AX40" s="14">
        <f>AX39*(100%+$DA$35)</f>
        <v>5</v>
      </c>
      <c r="AY40" s="14">
        <f>AY39*(100%+$DA$32)</f>
        <v>7</v>
      </c>
      <c r="AZ40" s="14">
        <f t="shared" si="104"/>
        <v>13</v>
      </c>
      <c r="BA40" s="14">
        <f t="shared" si="104"/>
        <v>10</v>
      </c>
      <c r="BB40" s="14">
        <f>BB39*(100%+$DA$31)</f>
        <v>70</v>
      </c>
      <c r="BC40" s="47">
        <f t="shared" si="85"/>
        <v>3.7800000000000002</v>
      </c>
      <c r="BD40" s="14">
        <f t="shared" si="76"/>
        <v>20.399999999999999</v>
      </c>
      <c r="BE40" s="14">
        <f>BE39*(100%+$CU$30)</f>
        <v>11.7</v>
      </c>
      <c r="BF40" s="14">
        <f>BF39*(100%+$CU$29)</f>
        <v>8.6999999999999993</v>
      </c>
      <c r="BG40" s="1" t="s">
        <v>48</v>
      </c>
      <c r="BH40" s="47">
        <f t="shared" si="86"/>
        <v>5.4059999999999997</v>
      </c>
      <c r="BI40" s="14">
        <f t="shared" si="77"/>
        <v>31.5</v>
      </c>
      <c r="BJ40" s="14">
        <f t="shared" si="105"/>
        <v>21.2</v>
      </c>
      <c r="BK40" s="14">
        <f t="shared" si="105"/>
        <v>10.3</v>
      </c>
      <c r="BL40" s="2">
        <f t="shared" si="87"/>
        <v>2941.6344314912767</v>
      </c>
      <c r="BM40" s="2">
        <f t="shared" si="88"/>
        <v>5287.88076525</v>
      </c>
      <c r="BN40" s="9">
        <f t="shared" si="89"/>
        <v>87.771764081755748</v>
      </c>
      <c r="BO40" s="9">
        <f t="shared" si="90"/>
        <v>156.40816142700001</v>
      </c>
      <c r="BP40" s="16">
        <f t="shared" si="91"/>
        <v>0.77367268174058568</v>
      </c>
      <c r="BQ40" s="17">
        <f t="shared" si="92"/>
        <v>12.25361959735503</v>
      </c>
      <c r="BR40" s="5">
        <f t="shared" si="25"/>
        <v>49.309396264310067</v>
      </c>
      <c r="BS40" s="5">
        <f t="shared" si="26"/>
        <v>0.97300000000000075</v>
      </c>
      <c r="BT40">
        <f t="shared" si="93"/>
        <v>8.3475000000000001</v>
      </c>
      <c r="BU40" s="5">
        <f t="shared" si="34"/>
        <v>58.629896264310062</v>
      </c>
      <c r="BV40" s="5">
        <f t="shared" si="27"/>
        <v>25.996253901182172</v>
      </c>
      <c r="BW40" s="5">
        <f t="shared" si="28"/>
        <v>22.369657389171323</v>
      </c>
      <c r="BX40">
        <f t="shared" si="94"/>
        <v>5.4059999999999997</v>
      </c>
      <c r="BY40" s="5">
        <f t="shared" si="35"/>
        <v>53.771911290353493</v>
      </c>
      <c r="BZ40" s="5">
        <f t="shared" si="36"/>
        <v>112.40180755466355</v>
      </c>
      <c r="CA40" s="9">
        <f t="shared" si="106"/>
        <v>99.472481823955221</v>
      </c>
      <c r="CB40" s="9">
        <f t="shared" si="37"/>
        <v>7.7930585050988714</v>
      </c>
      <c r="CC40" s="16">
        <f t="shared" si="107"/>
        <v>23.094151469830056</v>
      </c>
      <c r="CD40" s="16">
        <f t="shared" si="38"/>
        <v>0.20356562599726316</v>
      </c>
      <c r="CE40" s="9">
        <f t="shared" si="39"/>
        <v>255.88064325095525</v>
      </c>
      <c r="CF40" s="9">
        <f t="shared" si="42"/>
        <v>4818.485790150512</v>
      </c>
      <c r="CG40" s="9">
        <f t="shared" si="29"/>
        <v>20.046678102453903</v>
      </c>
      <c r="CH40" s="9">
        <f t="shared" si="30"/>
        <v>158.10237808826528</v>
      </c>
      <c r="CI40" s="9">
        <f t="shared" si="43"/>
        <v>2671.4656375258232</v>
      </c>
      <c r="CJ40" s="9">
        <f t="shared" si="40"/>
        <v>110.8659155515858</v>
      </c>
      <c r="CK40" s="9">
        <f t="shared" si="46"/>
        <v>2113.6748758173649</v>
      </c>
      <c r="CL40" s="9">
        <f t="shared" si="31"/>
        <v>0.97723830773784881</v>
      </c>
      <c r="CM40" s="9">
        <f t="shared" si="32"/>
        <v>76.866062760183553</v>
      </c>
      <c r="CN40" s="9">
        <f t="shared" si="47"/>
        <v>2355.6014006136052</v>
      </c>
      <c r="CO40" s="9">
        <f t="shared" si="33"/>
        <v>234.96844084844884</v>
      </c>
      <c r="CP40" s="9">
        <f t="shared" si="44"/>
        <v>5027.0670381394275</v>
      </c>
      <c r="CR40" s="18" t="s">
        <v>84</v>
      </c>
      <c r="CS40" s="19" t="s">
        <v>75</v>
      </c>
      <c r="CT40" s="19" t="s">
        <v>77</v>
      </c>
      <c r="CU40" s="20">
        <v>0</v>
      </c>
      <c r="CV40" s="28">
        <f>(W62-W53)/W53</f>
        <v>0</v>
      </c>
      <c r="CX40" s="18" t="s">
        <v>83</v>
      </c>
      <c r="CY40" s="19" t="s">
        <v>97</v>
      </c>
      <c r="CZ40" s="19" t="s">
        <v>77</v>
      </c>
      <c r="DA40" s="20">
        <v>-0.01</v>
      </c>
      <c r="DB40" s="40">
        <f>((AJ52+AI52)-(AJ43+AI43))/(AI43+AJ43)</f>
        <v>-8.6482752516359312E-2</v>
      </c>
    </row>
    <row r="41" spans="1:106" x14ac:dyDescent="0.3">
      <c r="A41" s="1">
        <v>2029</v>
      </c>
      <c r="B41" s="15">
        <f t="shared" si="95"/>
        <v>93594500</v>
      </c>
      <c r="C41" s="15">
        <f t="shared" si="99"/>
        <v>9440400</v>
      </c>
      <c r="D41" s="15">
        <f t="shared" si="99"/>
        <v>4604500</v>
      </c>
      <c r="E41" s="2">
        <f t="shared" si="96"/>
        <v>31262992.800000001</v>
      </c>
      <c r="F41" s="11">
        <f t="shared" si="13"/>
        <v>0.39300000000000002</v>
      </c>
      <c r="J41" s="2">
        <f t="shared" si="97"/>
        <v>14707399.999999998</v>
      </c>
      <c r="K41" s="12">
        <f t="shared" si="98"/>
        <v>0.18488339350543559</v>
      </c>
      <c r="P41" s="15">
        <f>P40*(100%+$DA$68)</f>
        <v>79549600</v>
      </c>
      <c r="Q41" s="15">
        <f t="shared" si="70"/>
        <v>28280694140.293148</v>
      </c>
      <c r="R41" s="15">
        <f t="shared" si="81"/>
        <v>253361576776.64377</v>
      </c>
      <c r="S41" s="34">
        <f>S40+$DA$63</f>
        <v>302.16192340675093</v>
      </c>
      <c r="T41" s="15">
        <f>T40*(100%+$CU$51)</f>
        <v>26838.012878336063</v>
      </c>
      <c r="U41" s="34">
        <f t="shared" si="71"/>
        <v>355.51019917501969</v>
      </c>
      <c r="V41" s="15">
        <f t="shared" si="72"/>
        <v>1727.1806208403875</v>
      </c>
      <c r="W41" s="14">
        <f>W40*(100%+$CU$22)</f>
        <v>59</v>
      </c>
      <c r="X41" s="15">
        <f>X40*(100%+$CU$24)</f>
        <v>1377.1806208403875</v>
      </c>
      <c r="Y41" s="35">
        <f t="shared" si="100"/>
        <v>64</v>
      </c>
      <c r="Z41" s="14">
        <f t="shared" si="100"/>
        <v>227</v>
      </c>
      <c r="AA41" s="33">
        <f t="shared" si="21"/>
        <v>0.39967560604884622</v>
      </c>
      <c r="AB41" s="54">
        <f t="shared" si="82"/>
        <v>48.361057383530849</v>
      </c>
      <c r="AC41" s="15">
        <f t="shared" si="73"/>
        <v>5149.5413614237495</v>
      </c>
      <c r="AD41" s="14">
        <f>AD40*(100%+$DA$26)</f>
        <v>171</v>
      </c>
      <c r="AE41" s="14">
        <f>AE40*(100%+$DA$30)</f>
        <v>221</v>
      </c>
      <c r="AF41" s="14">
        <f>AF40*(100%+$DA$25)</f>
        <v>3000</v>
      </c>
      <c r="AG41" s="14">
        <f t="shared" si="101"/>
        <v>83</v>
      </c>
      <c r="AH41" s="14">
        <f t="shared" si="101"/>
        <v>232</v>
      </c>
      <c r="AI41" s="14">
        <f t="shared" si="102"/>
        <v>472</v>
      </c>
      <c r="AJ41" s="14">
        <f t="shared" si="102"/>
        <v>306</v>
      </c>
      <c r="AK41" s="14">
        <f>AK40*(100%+$DA$29)</f>
        <v>664.54136142375</v>
      </c>
      <c r="AL41" s="54">
        <f t="shared" si="83"/>
        <v>144.18715811986499</v>
      </c>
      <c r="AM41" s="16">
        <f t="shared" si="22"/>
        <v>0.26290439097666235</v>
      </c>
      <c r="AN41" s="16">
        <f t="shared" si="23"/>
        <v>0.1237921906098058</v>
      </c>
      <c r="AO41" s="15">
        <f t="shared" si="74"/>
        <v>6876.7219822641373</v>
      </c>
      <c r="AP41" s="15">
        <f t="shared" si="75"/>
        <v>1201.9691991113184</v>
      </c>
      <c r="AQ41" s="15">
        <f>AQ40*(100%+$CU$27)</f>
        <v>1190.9691991113184</v>
      </c>
      <c r="AR41" s="35">
        <f>AR40*(100%+$CU$26)</f>
        <v>9</v>
      </c>
      <c r="AS41" s="14">
        <f>AS40*(100%+$CU$25)</f>
        <v>2</v>
      </c>
      <c r="AT41" s="47">
        <f t="shared" si="84"/>
        <v>33.655137575116918</v>
      </c>
      <c r="AU41" s="14">
        <f t="shared" si="61"/>
        <v>135</v>
      </c>
      <c r="AV41" s="14">
        <f t="shared" si="103"/>
        <v>20</v>
      </c>
      <c r="AW41" s="14">
        <f t="shared" si="103"/>
        <v>10</v>
      </c>
      <c r="AX41" s="14">
        <f>AX40*(100%+$DA$35)</f>
        <v>5</v>
      </c>
      <c r="AY41" s="14">
        <f>AY40*(100%+$DA$32)</f>
        <v>7</v>
      </c>
      <c r="AZ41" s="14">
        <f t="shared" si="104"/>
        <v>13</v>
      </c>
      <c r="BA41" s="14">
        <f t="shared" si="104"/>
        <v>10</v>
      </c>
      <c r="BB41" s="14">
        <f>BB40*(100%+$DA$31)</f>
        <v>70</v>
      </c>
      <c r="BC41" s="47">
        <f t="shared" si="85"/>
        <v>3.7800000000000002</v>
      </c>
      <c r="BD41" s="14">
        <f t="shared" si="76"/>
        <v>20.399999999999999</v>
      </c>
      <c r="BE41" s="14">
        <f>BE40*(100%+$CU$30)</f>
        <v>11.7</v>
      </c>
      <c r="BF41" s="14">
        <f>BF40*(100%+$CU$29)</f>
        <v>8.6999999999999993</v>
      </c>
      <c r="BG41" s="1" t="s">
        <v>48</v>
      </c>
      <c r="BH41" s="47">
        <f t="shared" si="86"/>
        <v>5.4059999999999997</v>
      </c>
      <c r="BI41" s="14">
        <f t="shared" si="77"/>
        <v>31.5</v>
      </c>
      <c r="BJ41" s="14">
        <f t="shared" si="105"/>
        <v>21.2</v>
      </c>
      <c r="BK41" s="14">
        <f t="shared" si="105"/>
        <v>10.3</v>
      </c>
      <c r="BL41" s="2">
        <f t="shared" si="87"/>
        <v>2929.1498199517059</v>
      </c>
      <c r="BM41" s="2">
        <f t="shared" si="88"/>
        <v>5284.5413614237495</v>
      </c>
      <c r="BN41" s="9">
        <f t="shared" si="89"/>
        <v>87.422194958647779</v>
      </c>
      <c r="BO41" s="9">
        <f t="shared" si="90"/>
        <v>156.31465811986499</v>
      </c>
      <c r="BP41" s="16">
        <f t="shared" si="91"/>
        <v>0.76070224183851531</v>
      </c>
      <c r="BQ41" s="17">
        <f t="shared" si="92"/>
        <v>12.185500818143799</v>
      </c>
      <c r="BR41" s="5">
        <f t="shared" si="25"/>
        <v>54.121826282988422</v>
      </c>
      <c r="BS41" s="5">
        <f t="shared" si="26"/>
        <v>0.97300000000000075</v>
      </c>
      <c r="BT41">
        <f t="shared" si="93"/>
        <v>8.3475000000000001</v>
      </c>
      <c r="BU41" s="5">
        <f t="shared" si="34"/>
        <v>63.442326282988418</v>
      </c>
      <c r="BV41" s="5">
        <f t="shared" si="27"/>
        <v>24.034589947394778</v>
      </c>
      <c r="BW41" s="5">
        <f t="shared" si="28"/>
        <v>20.129773215279641</v>
      </c>
      <c r="BX41">
        <f t="shared" si="94"/>
        <v>5.4059999999999997</v>
      </c>
      <c r="BY41" s="5">
        <f t="shared" si="35"/>
        <v>49.570363162674418</v>
      </c>
      <c r="BZ41" s="5">
        <f t="shared" si="36"/>
        <v>113.01268944566283</v>
      </c>
      <c r="CA41" s="9">
        <f t="shared" si="106"/>
        <v>98.72643821027556</v>
      </c>
      <c r="CB41" s="9">
        <f t="shared" si="37"/>
        <v>7.6962142133927678</v>
      </c>
      <c r="CC41" s="16">
        <f t="shared" si="107"/>
        <v>22.92094533380633</v>
      </c>
      <c r="CD41" s="16">
        <f t="shared" si="38"/>
        <v>0.19944608470116854</v>
      </c>
      <c r="CE41" s="9">
        <f t="shared" si="39"/>
        <v>255.04109633014053</v>
      </c>
      <c r="CF41" s="9">
        <f t="shared" si="42"/>
        <v>5073.5268864806521</v>
      </c>
      <c r="CG41" s="9">
        <f t="shared" si="29"/>
        <v>19.881715031536565</v>
      </c>
      <c r="CH41" s="9">
        <f t="shared" si="30"/>
        <v>162.16876449326398</v>
      </c>
      <c r="CI41" s="9">
        <f t="shared" si="43"/>
        <v>2833.6344020190872</v>
      </c>
      <c r="CJ41" s="9">
        <f t="shared" si="40"/>
        <v>110.34314029245411</v>
      </c>
      <c r="CK41" s="9">
        <f t="shared" si="46"/>
        <v>2224.0180161098187</v>
      </c>
      <c r="CL41" s="9">
        <f t="shared" si="31"/>
        <v>0.96014832653968385</v>
      </c>
      <c r="CM41" s="9">
        <f t="shared" si="32"/>
        <v>72.491308496480741</v>
      </c>
      <c r="CN41" s="9">
        <f t="shared" si="47"/>
        <v>2428.0927091100857</v>
      </c>
      <c r="CO41" s="9">
        <f t="shared" si="33"/>
        <v>234.66007298974472</v>
      </c>
      <c r="CP41" s="9">
        <f t="shared" si="44"/>
        <v>5261.727111129172</v>
      </c>
      <c r="CR41" s="18" t="s">
        <v>84</v>
      </c>
      <c r="CS41" s="19" t="s">
        <v>78</v>
      </c>
      <c r="CT41" s="19" t="s">
        <v>77</v>
      </c>
      <c r="CU41" s="20">
        <v>0</v>
      </c>
      <c r="CV41" s="28">
        <f>((Z62+Y62)-(Z53+Y53))/(Y53+Z53)</f>
        <v>0</v>
      </c>
      <c r="CX41" s="18" t="s">
        <v>83</v>
      </c>
      <c r="CY41" s="19" t="s">
        <v>98</v>
      </c>
      <c r="CZ41" s="19" t="s">
        <v>77</v>
      </c>
      <c r="DA41" s="20">
        <v>-0.01</v>
      </c>
      <c r="DB41" s="40">
        <f>(AK52-AK43)/AK43</f>
        <v>-8.6482752516359174E-2</v>
      </c>
    </row>
    <row r="42" spans="1:106" x14ac:dyDescent="0.3">
      <c r="A42" s="1">
        <v>2030</v>
      </c>
      <c r="B42" s="15">
        <f t="shared" si="95"/>
        <v>93594500</v>
      </c>
      <c r="C42" s="15">
        <f t="shared" si="99"/>
        <v>9440400</v>
      </c>
      <c r="D42" s="15">
        <f t="shared" si="99"/>
        <v>4604500</v>
      </c>
      <c r="E42" s="2">
        <f t="shared" si="96"/>
        <v>31262992.800000001</v>
      </c>
      <c r="F42" s="11">
        <f t="shared" si="13"/>
        <v>0.39300000000000002</v>
      </c>
      <c r="H42" s="2"/>
      <c r="J42" s="2">
        <f t="shared" si="97"/>
        <v>14707399.999999998</v>
      </c>
      <c r="K42" s="12">
        <f t="shared" si="98"/>
        <v>0.18488339350543559</v>
      </c>
      <c r="P42" s="15">
        <f>P41*(100%+$DA$68)</f>
        <v>79549600</v>
      </c>
      <c r="Q42" s="15">
        <f t="shared" si="70"/>
        <v>28421085890.293148</v>
      </c>
      <c r="R42" s="15">
        <f>T42*C42</f>
        <v>256655277274.74011</v>
      </c>
      <c r="S42" s="34">
        <f>S41+$DA$63</f>
        <v>303.66192340675093</v>
      </c>
      <c r="T42" s="15">
        <f>T41*(100%+$CU$51)</f>
        <v>27186.907045754429</v>
      </c>
      <c r="U42" s="34">
        <f t="shared" si="71"/>
        <v>357.27503205915741</v>
      </c>
      <c r="V42" s="15">
        <f t="shared" si="72"/>
        <v>1726.7261512355101</v>
      </c>
      <c r="W42" s="14">
        <f>W41*(100%+$CU$22)</f>
        <v>59</v>
      </c>
      <c r="X42" s="15">
        <f>X41*(100%+$CU$24)</f>
        <v>1376.7261512355101</v>
      </c>
      <c r="Y42" s="35">
        <f t="shared" si="100"/>
        <v>64</v>
      </c>
      <c r="Z42" s="14">
        <f t="shared" si="100"/>
        <v>227</v>
      </c>
      <c r="AA42" s="33">
        <f t="shared" si="21"/>
        <v>0.39954371309885001</v>
      </c>
      <c r="AB42" s="54">
        <f t="shared" si="82"/>
        <v>48.348332234594281</v>
      </c>
      <c r="AC42" s="15">
        <f t="shared" si="73"/>
        <v>5146.2186546166313</v>
      </c>
      <c r="AD42" s="14">
        <f>AD41*(100%+$DA$26)</f>
        <v>171</v>
      </c>
      <c r="AE42" s="14">
        <f>AE41*(100%+$DA$30)</f>
        <v>221</v>
      </c>
      <c r="AF42" s="14">
        <f>AF41*(100%+$DA$25)</f>
        <v>3000</v>
      </c>
      <c r="AG42" s="14">
        <f t="shared" si="101"/>
        <v>83</v>
      </c>
      <c r="AH42" s="14">
        <f t="shared" si="101"/>
        <v>232</v>
      </c>
      <c r="AI42" s="14">
        <f t="shared" si="102"/>
        <v>472</v>
      </c>
      <c r="AJ42" s="14">
        <f t="shared" si="102"/>
        <v>306</v>
      </c>
      <c r="AK42" s="14">
        <f>AK41*(100%+$DA$29)</f>
        <v>661.21865461663128</v>
      </c>
      <c r="AL42" s="54">
        <f t="shared" si="83"/>
        <v>144.09412232926567</v>
      </c>
      <c r="AM42" s="16">
        <f t="shared" si="22"/>
        <v>0.26290439097666235</v>
      </c>
      <c r="AN42" s="16">
        <f t="shared" si="23"/>
        <v>0.12317322965675677</v>
      </c>
      <c r="AO42" s="15">
        <f t="shared" si="74"/>
        <v>6872.9448058521411</v>
      </c>
      <c r="AP42" s="15">
        <f t="shared" si="75"/>
        <v>1190.0595071202051</v>
      </c>
      <c r="AQ42" s="15">
        <f>AQ41*(100%+$CU$27)</f>
        <v>1179.0595071202051</v>
      </c>
      <c r="AR42" s="35">
        <f>AR41*(100%+$CU$26)</f>
        <v>9</v>
      </c>
      <c r="AS42" s="14">
        <f>AS41*(100%+$CU$25)</f>
        <v>2</v>
      </c>
      <c r="AT42" s="47">
        <f t="shared" si="84"/>
        <v>33.321666199365744</v>
      </c>
      <c r="AU42" s="14">
        <f t="shared" si="61"/>
        <v>135</v>
      </c>
      <c r="AV42" s="14">
        <f t="shared" si="103"/>
        <v>20</v>
      </c>
      <c r="AW42" s="14">
        <f t="shared" si="103"/>
        <v>10</v>
      </c>
      <c r="AX42" s="14">
        <f>AX41*(100%+$DA$35)</f>
        <v>5</v>
      </c>
      <c r="AY42" s="14">
        <f>AY41*(100%+$DA$32)</f>
        <v>7</v>
      </c>
      <c r="AZ42" s="14">
        <f t="shared" si="104"/>
        <v>13</v>
      </c>
      <c r="BA42" s="14">
        <f t="shared" si="104"/>
        <v>10</v>
      </c>
      <c r="BB42" s="14">
        <f>BB41*(100%+$DA$31)</f>
        <v>70</v>
      </c>
      <c r="BC42" s="47">
        <f t="shared" si="85"/>
        <v>3.7800000000000002</v>
      </c>
      <c r="BD42" s="14">
        <f t="shared" si="76"/>
        <v>20.399999999999999</v>
      </c>
      <c r="BE42" s="14">
        <f>BE41*(100%+$CU$30)</f>
        <v>11.7</v>
      </c>
      <c r="BF42" s="14">
        <f>BF41*(100%+$CU$29)</f>
        <v>8.6999999999999993</v>
      </c>
      <c r="BG42" s="1" t="s">
        <v>48</v>
      </c>
      <c r="BH42" s="47">
        <f t="shared" si="86"/>
        <v>5.4059999999999997</v>
      </c>
      <c r="BI42" s="14">
        <f t="shared" si="77"/>
        <v>31.5</v>
      </c>
      <c r="BJ42" s="14">
        <f t="shared" si="105"/>
        <v>21.2</v>
      </c>
      <c r="BK42" s="14">
        <f t="shared" si="105"/>
        <v>10.3</v>
      </c>
      <c r="BL42" s="2">
        <f t="shared" si="87"/>
        <v>2916.785658355715</v>
      </c>
      <c r="BM42" s="2">
        <f t="shared" si="88"/>
        <v>5281.2186546166313</v>
      </c>
      <c r="BN42" s="9">
        <f t="shared" si="89"/>
        <v>87.075998433960024</v>
      </c>
      <c r="BO42" s="9">
        <f t="shared" si="90"/>
        <v>156.22162232926567</v>
      </c>
      <c r="BP42" s="16">
        <f t="shared" si="91"/>
        <v>0.74796625927929239</v>
      </c>
      <c r="BQ42" s="17">
        <f t="shared" si="92"/>
        <v>12.118091277334839</v>
      </c>
      <c r="BR42" s="5">
        <f t="shared" si="25"/>
        <v>59.650374151573487</v>
      </c>
      <c r="BS42" s="5">
        <f t="shared" si="26"/>
        <v>0.73500000000000121</v>
      </c>
      <c r="BT42">
        <f t="shared" si="93"/>
        <v>8.3475000000000001</v>
      </c>
      <c r="BU42" s="5">
        <f t="shared" si="34"/>
        <v>68.732874151573483</v>
      </c>
      <c r="BV42" s="5">
        <f t="shared" si="27"/>
        <v>25.404945022712127</v>
      </c>
      <c r="BW42" s="5">
        <f t="shared" si="28"/>
        <v>17.191147883126831</v>
      </c>
      <c r="BX42">
        <f t="shared" si="94"/>
        <v>5.4059999999999997</v>
      </c>
      <c r="BY42" s="5">
        <f t="shared" si="35"/>
        <v>48.002092905838957</v>
      </c>
      <c r="BZ42" s="5">
        <f t="shared" si="36"/>
        <v>116.73496705741243</v>
      </c>
      <c r="CA42" s="9">
        <f t="shared" si="106"/>
        <v>97.985989923698497</v>
      </c>
      <c r="CB42" s="9">
        <f t="shared" si="37"/>
        <v>7.6007607147538172</v>
      </c>
      <c r="CC42" s="16">
        <f t="shared" si="107"/>
        <v>22.749038243802783</v>
      </c>
      <c r="CD42" s="16">
        <f t="shared" si="38"/>
        <v>0.19540991023288234</v>
      </c>
      <c r="CE42" s="9">
        <f t="shared" si="39"/>
        <v>254.20761225296417</v>
      </c>
      <c r="CF42" s="9">
        <f t="shared" si="42"/>
        <v>5327.7344987336164</v>
      </c>
      <c r="CG42" s="9">
        <f t="shared" si="29"/>
        <v>19.718851992088656</v>
      </c>
      <c r="CH42" s="9">
        <f t="shared" si="30"/>
        <v>166.71886407527199</v>
      </c>
      <c r="CI42" s="9">
        <f t="shared" si="43"/>
        <v>3000.3532660943592</v>
      </c>
      <c r="CJ42" s="9">
        <f t="shared" si="40"/>
        <v>109.82503667776281</v>
      </c>
      <c r="CK42" s="9">
        <f t="shared" si="46"/>
        <v>2333.8430527875817</v>
      </c>
      <c r="CL42" s="9">
        <f t="shared" si="31"/>
        <v>0.94337616951217473</v>
      </c>
      <c r="CM42" s="9">
        <f t="shared" si="32"/>
        <v>70.751131149641736</v>
      </c>
      <c r="CN42" s="9">
        <f t="shared" si="47"/>
        <v>2498.8438402597276</v>
      </c>
      <c r="CO42" s="9">
        <f t="shared" si="33"/>
        <v>237.46999522491373</v>
      </c>
      <c r="CP42" s="9">
        <f t="shared" si="44"/>
        <v>5499.1971063540859</v>
      </c>
      <c r="CR42" s="18" t="s">
        <v>84</v>
      </c>
      <c r="CS42" s="19" t="s">
        <v>79</v>
      </c>
      <c r="CT42" s="19" t="s">
        <v>77</v>
      </c>
      <c r="CU42" s="20">
        <v>-1.4999999999999999E-2</v>
      </c>
      <c r="CV42" s="28">
        <f>(X62-X53)/X53</f>
        <v>-0.12717721598056564</v>
      </c>
      <c r="CX42" s="18" t="s">
        <v>83</v>
      </c>
      <c r="CY42" s="19" t="s">
        <v>18</v>
      </c>
      <c r="CZ42" s="19" t="s">
        <v>77</v>
      </c>
      <c r="DA42" s="20">
        <v>-0.01</v>
      </c>
      <c r="DB42" s="40">
        <f>(AE52-AE43)/AE43</f>
        <v>-8.6482752516359007E-2</v>
      </c>
    </row>
    <row r="43" spans="1:106" x14ac:dyDescent="0.3">
      <c r="A43" s="1">
        <v>2031</v>
      </c>
      <c r="B43" s="15">
        <f t="shared" si="95"/>
        <v>93594500</v>
      </c>
      <c r="C43" s="15">
        <f t="shared" ref="C43:C52" si="108">C42*(100%+$CU$57)</f>
        <v>9440400</v>
      </c>
      <c r="D43" s="15">
        <f t="shared" ref="D43:D52" si="109">D42*(100%+$CU$57)</f>
        <v>4604500</v>
      </c>
      <c r="E43" s="2">
        <f t="shared" si="96"/>
        <v>31262992.800000001</v>
      </c>
      <c r="F43" s="11">
        <f t="shared" si="13"/>
        <v>0.39300000000000002</v>
      </c>
      <c r="H43" s="2"/>
      <c r="J43" s="2">
        <f t="shared" si="97"/>
        <v>14707399.999999998</v>
      </c>
      <c r="K43" s="12">
        <f t="shared" si="98"/>
        <v>0.18488339350543559</v>
      </c>
      <c r="P43" s="15">
        <f t="shared" ref="P43:P52" si="110">P42*(100%+$DA$69)</f>
        <v>79549600</v>
      </c>
      <c r="Q43" s="15">
        <f t="shared" si="70"/>
        <v>28561477640.293148</v>
      </c>
      <c r="R43" s="15">
        <f t="shared" si="81"/>
        <v>259991795879.31171</v>
      </c>
      <c r="S43" s="34">
        <f t="shared" ref="S43:S52" si="111">S42+$DA$64</f>
        <v>305.16192340675093</v>
      </c>
      <c r="T43" s="15">
        <f t="shared" ref="T43:T52" si="112">T42*(100%+$CU$52)</f>
        <v>27540.336837349234</v>
      </c>
      <c r="U43" s="34">
        <f t="shared" si="71"/>
        <v>359.03986494329513</v>
      </c>
      <c r="V43" s="15">
        <f t="shared" si="72"/>
        <v>1712.9588897231549</v>
      </c>
      <c r="W43" s="14">
        <f t="shared" ref="W43:W52" si="113">W42*(100%+$CU$31)</f>
        <v>59</v>
      </c>
      <c r="X43" s="15">
        <f t="shared" ref="X43:X52" si="114">X42*(100%+$CU$33)</f>
        <v>1362.9588897231549</v>
      </c>
      <c r="Y43" s="35">
        <f t="shared" ref="Y43:Y52" si="115">Y42*(100%+$CU$32)</f>
        <v>64</v>
      </c>
      <c r="Z43" s="35">
        <f t="shared" ref="Z43:Z52" si="116">Z42*(100%+$CU$32)</f>
        <v>227</v>
      </c>
      <c r="AA43" s="33">
        <f t="shared" si="21"/>
        <v>0.39554827596786152</v>
      </c>
      <c r="AB43" s="54">
        <f t="shared" si="82"/>
        <v>47.96284891224834</v>
      </c>
      <c r="AC43" s="15">
        <f t="shared" si="73"/>
        <v>5094.7564680704645</v>
      </c>
      <c r="AD43" s="14">
        <f t="shared" ref="AD43:AD52" si="117">AD42*(100%+$DA$38)</f>
        <v>169.29</v>
      </c>
      <c r="AE43" s="14">
        <f t="shared" ref="AE43:AE52" si="118">AE42*(100%+$DA$42)</f>
        <v>218.79</v>
      </c>
      <c r="AF43" s="35">
        <f t="shared" ref="AF43:AF52" si="119">AF42*(100%+$DA$37)</f>
        <v>2970</v>
      </c>
      <c r="AG43" s="14">
        <f t="shared" ref="AG43:AG52" si="120">AG42*(100%+$DA$39)</f>
        <v>82.17</v>
      </c>
      <c r="AH43" s="14">
        <f t="shared" ref="AH43:AH52" si="121">AH42*(100%+$DA$39)</f>
        <v>229.68</v>
      </c>
      <c r="AI43" s="14">
        <f t="shared" ref="AI43:AI52" si="122">AI42*(100%+$DA$40)</f>
        <v>467.28</v>
      </c>
      <c r="AJ43" s="14">
        <f t="shared" ref="AJ43:AJ52" si="123">AJ42*(100%+$DA$40)</f>
        <v>302.94</v>
      </c>
      <c r="AK43" s="14">
        <f t="shared" ref="AK43:AK52" si="124">AK42*(100%+$DA$41)</f>
        <v>654.60646807046498</v>
      </c>
      <c r="AL43" s="54">
        <f t="shared" si="83"/>
        <v>142.653181105973</v>
      </c>
      <c r="AM43" s="16">
        <f t="shared" si="22"/>
        <v>0.26027534706689576</v>
      </c>
      <c r="AN43" s="16">
        <f t="shared" si="23"/>
        <v>0.12194149736018919</v>
      </c>
      <c r="AO43" s="15">
        <f t="shared" si="74"/>
        <v>6807.7153577936197</v>
      </c>
      <c r="AP43" s="15">
        <f t="shared" si="75"/>
        <v>1172.3736145134021</v>
      </c>
      <c r="AQ43" s="15">
        <f t="shared" ref="AQ43:AQ52" si="125">AQ42*(100%+$CU$36)</f>
        <v>1161.3736145134021</v>
      </c>
      <c r="AR43" s="35">
        <f t="shared" ref="AR43:AR52" si="126">AR42*(100%+$CU$35)</f>
        <v>9</v>
      </c>
      <c r="AS43" s="14">
        <f t="shared" ref="AS43:AS52" si="127">AS42*(100%+$CU$34)</f>
        <v>2</v>
      </c>
      <c r="AT43" s="47">
        <f t="shared" si="84"/>
        <v>32.826461206375257</v>
      </c>
      <c r="AU43" s="14">
        <f t="shared" si="61"/>
        <v>135</v>
      </c>
      <c r="AV43" s="14">
        <f t="shared" ref="AV43:AV52" si="128">AV42*(100%+$DA$46)</f>
        <v>20</v>
      </c>
      <c r="AW43" s="14">
        <f t="shared" ref="AW43:AW52" si="129">AW42*(100%+$DA$46)</f>
        <v>10</v>
      </c>
      <c r="AX43" s="14">
        <f t="shared" ref="AX43:AX52" si="130">AX42*(100%+$DA$47)</f>
        <v>5</v>
      </c>
      <c r="AY43" s="14">
        <f t="shared" ref="AY43:AY52" si="131">AY42*(100%+$DA$44)</f>
        <v>7</v>
      </c>
      <c r="AZ43" s="14">
        <f t="shared" ref="AZ43:AZ52" si="132">AZ42*(100%+$DA$45)</f>
        <v>13</v>
      </c>
      <c r="BA43" s="14">
        <f t="shared" ref="BA43:BA52" si="133">BA42*(100%+$DA$45)</f>
        <v>10</v>
      </c>
      <c r="BB43" s="14">
        <f t="shared" ref="BB43:BB52" si="134">BB42*(100%+$DA$43)</f>
        <v>70</v>
      </c>
      <c r="BC43" s="47">
        <f t="shared" si="85"/>
        <v>3.7800000000000002</v>
      </c>
      <c r="BD43" s="14">
        <f t="shared" si="76"/>
        <v>20.399999999999999</v>
      </c>
      <c r="BE43" s="14">
        <f t="shared" ref="BE43:BE52" si="135">BE42*(100%+$CU$39)</f>
        <v>11.7</v>
      </c>
      <c r="BF43" s="14">
        <f t="shared" ref="BF43:BF52" si="136">BF42*(100%+$CU$38)</f>
        <v>8.6999999999999993</v>
      </c>
      <c r="BG43" s="1" t="s">
        <v>48</v>
      </c>
      <c r="BH43" s="47">
        <f t="shared" si="86"/>
        <v>5.4059999999999997</v>
      </c>
      <c r="BI43" s="14">
        <f t="shared" si="77"/>
        <v>31.5</v>
      </c>
      <c r="BJ43" s="14">
        <f t="shared" ref="BJ43:BJ52" si="137">BJ42*(100%+$DA$48)</f>
        <v>21.2</v>
      </c>
      <c r="BK43" s="14">
        <f t="shared" ref="BK43:BK52" si="138">BK42*(100%+$DA$48)</f>
        <v>10.3</v>
      </c>
      <c r="BL43" s="2">
        <f t="shared" si="87"/>
        <v>2885.3325042365568</v>
      </c>
      <c r="BM43" s="2">
        <f t="shared" si="88"/>
        <v>5229.7564680704645</v>
      </c>
      <c r="BN43" s="9">
        <f t="shared" si="89"/>
        <v>86.195310118623595</v>
      </c>
      <c r="BO43" s="9">
        <f t="shared" si="90"/>
        <v>154.780681105973</v>
      </c>
      <c r="BP43" s="16">
        <f t="shared" si="91"/>
        <v>0.7308996191631022</v>
      </c>
      <c r="BQ43" s="17">
        <f t="shared" si="92"/>
        <v>11.94730151840799</v>
      </c>
      <c r="BR43" s="5">
        <f t="shared" si="25"/>
        <v>66.331910410057844</v>
      </c>
      <c r="BS43" s="5">
        <f t="shared" si="26"/>
        <v>0.85400000000000098</v>
      </c>
      <c r="BT43">
        <f t="shared" si="93"/>
        <v>8.3475000000000001</v>
      </c>
      <c r="BU43" s="5">
        <f t="shared" si="34"/>
        <v>75.53341041005784</v>
      </c>
      <c r="BV43" s="5">
        <f t="shared" si="27"/>
        <v>21.516705572484994</v>
      </c>
      <c r="BW43" s="5">
        <f t="shared" si="28"/>
        <v>12.567869264879931</v>
      </c>
      <c r="BX43">
        <f t="shared" si="94"/>
        <v>5.4059999999999997</v>
      </c>
      <c r="BY43" s="5">
        <f t="shared" si="35"/>
        <v>39.490574837364925</v>
      </c>
      <c r="BZ43" s="5">
        <f t="shared" si="36"/>
        <v>115.02398524742276</v>
      </c>
      <c r="CA43" s="9">
        <f>CA42*(1+$DA$74)</f>
        <v>97.006130024461513</v>
      </c>
      <c r="CB43" s="9">
        <f t="shared" si="37"/>
        <v>7.4877657615592934</v>
      </c>
      <c r="CC43" s="16">
        <f>CC42*(1+$CU$62)</f>
        <v>22.521547861364756</v>
      </c>
      <c r="CD43" s="16">
        <f t="shared" si="38"/>
        <v>0.19097316004990472</v>
      </c>
      <c r="CE43" s="9">
        <f t="shared" si="39"/>
        <v>251.7868111304345</v>
      </c>
      <c r="CF43" s="9">
        <f t="shared" si="42"/>
        <v>5579.5213098640506</v>
      </c>
      <c r="CG43" s="9">
        <f t="shared" si="29"/>
        <v>19.435067279967281</v>
      </c>
      <c r="CH43" s="9">
        <f t="shared" si="30"/>
        <v>172.53954043451935</v>
      </c>
      <c r="CI43" s="9">
        <f t="shared" si="43"/>
        <v>3172.8928065288787</v>
      </c>
      <c r="CJ43" s="9">
        <f t="shared" si="40"/>
        <v>108.71685797998835</v>
      </c>
      <c r="CK43" s="9">
        <f t="shared" si="46"/>
        <v>2442.5599107675698</v>
      </c>
      <c r="CL43" s="9">
        <f t="shared" si="31"/>
        <v>0.92187277921300681</v>
      </c>
      <c r="CM43" s="9">
        <f t="shared" si="32"/>
        <v>62.012122698729684</v>
      </c>
      <c r="CN43" s="9">
        <f t="shared" si="47"/>
        <v>2560.8559629584574</v>
      </c>
      <c r="CO43" s="9">
        <f t="shared" si="33"/>
        <v>234.55166313324904</v>
      </c>
      <c r="CP43" s="9">
        <f t="shared" si="44"/>
        <v>5733.7487694873353</v>
      </c>
      <c r="CR43" s="18" t="s">
        <v>84</v>
      </c>
      <c r="CS43" s="19" t="s">
        <v>75</v>
      </c>
      <c r="CT43" s="19" t="s">
        <v>80</v>
      </c>
      <c r="CU43" s="20">
        <v>0</v>
      </c>
      <c r="CV43" s="28">
        <f>(AS62-AS53)/AS53</f>
        <v>0</v>
      </c>
      <c r="CX43" s="18" t="s">
        <v>83</v>
      </c>
      <c r="CY43" s="19" t="s">
        <v>95</v>
      </c>
      <c r="CZ43" s="19" t="s">
        <v>80</v>
      </c>
      <c r="DA43" s="20">
        <v>0</v>
      </c>
      <c r="DB43" s="40">
        <f>(BB52-BB43)/BB43</f>
        <v>0</v>
      </c>
    </row>
    <row r="44" spans="1:106" x14ac:dyDescent="0.3">
      <c r="A44" s="1">
        <v>2032</v>
      </c>
      <c r="B44" s="15">
        <f t="shared" si="95"/>
        <v>93594500</v>
      </c>
      <c r="C44" s="15">
        <f t="shared" si="108"/>
        <v>9440400</v>
      </c>
      <c r="D44" s="15">
        <f t="shared" si="109"/>
        <v>4604500</v>
      </c>
      <c r="E44" s="2">
        <f t="shared" si="96"/>
        <v>31262992.800000001</v>
      </c>
      <c r="F44" s="11">
        <f t="shared" si="13"/>
        <v>0.39300000000000002</v>
      </c>
      <c r="J44" s="2">
        <f t="shared" si="97"/>
        <v>14707399.999999998</v>
      </c>
      <c r="K44" s="12">
        <f t="shared" si="98"/>
        <v>0.18488339350543559</v>
      </c>
      <c r="P44" s="15">
        <f t="shared" si="110"/>
        <v>79549600</v>
      </c>
      <c r="Q44" s="15">
        <f t="shared" si="70"/>
        <v>28701869390.293148</v>
      </c>
      <c r="R44" s="15">
        <f t="shared" si="81"/>
        <v>263371689225.74274</v>
      </c>
      <c r="S44" s="34">
        <f t="shared" si="111"/>
        <v>306.66192340675093</v>
      </c>
      <c r="T44" s="15">
        <f t="shared" si="112"/>
        <v>27898.361216234771</v>
      </c>
      <c r="U44" s="34">
        <f t="shared" si="71"/>
        <v>360.80469782743279</v>
      </c>
      <c r="V44" s="15">
        <f t="shared" si="72"/>
        <v>1699.3293008259234</v>
      </c>
      <c r="W44" s="14">
        <f t="shared" si="113"/>
        <v>59</v>
      </c>
      <c r="X44" s="15">
        <f t="shared" si="114"/>
        <v>1349.3293008259234</v>
      </c>
      <c r="Y44" s="35">
        <f t="shared" si="115"/>
        <v>64</v>
      </c>
      <c r="Z44" s="35">
        <f t="shared" si="116"/>
        <v>227</v>
      </c>
      <c r="AA44" s="33">
        <f t="shared" si="21"/>
        <v>0.39159279320818297</v>
      </c>
      <c r="AB44" s="54">
        <f t="shared" si="82"/>
        <v>47.581220423125856</v>
      </c>
      <c r="AC44" s="15">
        <f t="shared" si="73"/>
        <v>5043.8089033897613</v>
      </c>
      <c r="AD44" s="14">
        <f t="shared" si="117"/>
        <v>167.59709999999998</v>
      </c>
      <c r="AE44" s="14">
        <f t="shared" si="118"/>
        <v>216.60209999999998</v>
      </c>
      <c r="AF44" s="35">
        <f t="shared" si="119"/>
        <v>2940.3</v>
      </c>
      <c r="AG44" s="14">
        <f t="shared" si="120"/>
        <v>81.348299999999995</v>
      </c>
      <c r="AH44" s="14">
        <f t="shared" si="121"/>
        <v>227.38320000000002</v>
      </c>
      <c r="AI44" s="14">
        <f t="shared" si="122"/>
        <v>462.60719999999998</v>
      </c>
      <c r="AJ44" s="14">
        <f t="shared" si="123"/>
        <v>299.91059999999999</v>
      </c>
      <c r="AK44" s="14">
        <f t="shared" si="124"/>
        <v>648.06040338976038</v>
      </c>
      <c r="AL44" s="54">
        <f t="shared" si="83"/>
        <v>141.22664929491333</v>
      </c>
      <c r="AM44" s="16">
        <f t="shared" si="22"/>
        <v>0.2576725935962268</v>
      </c>
      <c r="AN44" s="16">
        <f t="shared" si="23"/>
        <v>0.12072208238658733</v>
      </c>
      <c r="AO44" s="15">
        <f t="shared" si="74"/>
        <v>6743.1382042156847</v>
      </c>
      <c r="AP44" s="15">
        <f t="shared" si="75"/>
        <v>1154.953010295701</v>
      </c>
      <c r="AQ44" s="15">
        <f t="shared" si="125"/>
        <v>1143.953010295701</v>
      </c>
      <c r="AR44" s="35">
        <f t="shared" si="126"/>
        <v>9</v>
      </c>
      <c r="AS44" s="14">
        <f t="shared" si="127"/>
        <v>2</v>
      </c>
      <c r="AT44" s="47">
        <f t="shared" si="84"/>
        <v>32.33868428827963</v>
      </c>
      <c r="AU44" s="14">
        <f t="shared" si="61"/>
        <v>135</v>
      </c>
      <c r="AV44" s="14">
        <f t="shared" si="128"/>
        <v>20</v>
      </c>
      <c r="AW44" s="14">
        <f t="shared" si="129"/>
        <v>10</v>
      </c>
      <c r="AX44" s="14">
        <f t="shared" si="130"/>
        <v>5</v>
      </c>
      <c r="AY44" s="14">
        <f t="shared" si="131"/>
        <v>7</v>
      </c>
      <c r="AZ44" s="14">
        <f t="shared" si="132"/>
        <v>13</v>
      </c>
      <c r="BA44" s="14">
        <f t="shared" si="133"/>
        <v>10</v>
      </c>
      <c r="BB44" s="14">
        <f t="shared" si="134"/>
        <v>70</v>
      </c>
      <c r="BC44" s="47">
        <f t="shared" si="85"/>
        <v>3.7800000000000002</v>
      </c>
      <c r="BD44" s="14">
        <f t="shared" si="76"/>
        <v>20.399999999999999</v>
      </c>
      <c r="BE44" s="14">
        <f t="shared" si="135"/>
        <v>11.7</v>
      </c>
      <c r="BF44" s="14">
        <f t="shared" si="136"/>
        <v>8.6999999999999993</v>
      </c>
      <c r="BG44" s="1" t="s">
        <v>48</v>
      </c>
      <c r="BH44" s="47">
        <f t="shared" si="86"/>
        <v>5.4059999999999997</v>
      </c>
      <c r="BI44" s="14">
        <f t="shared" si="77"/>
        <v>31.5</v>
      </c>
      <c r="BJ44" s="14">
        <f t="shared" si="137"/>
        <v>21.2</v>
      </c>
      <c r="BK44" s="14">
        <f t="shared" si="138"/>
        <v>10.3</v>
      </c>
      <c r="BL44" s="2">
        <f t="shared" si="87"/>
        <v>2854.2823111216244</v>
      </c>
      <c r="BM44" s="2">
        <f t="shared" si="88"/>
        <v>5178.8089033897613</v>
      </c>
      <c r="BN44" s="9">
        <f t="shared" si="89"/>
        <v>85.325904711405485</v>
      </c>
      <c r="BO44" s="9">
        <f t="shared" si="90"/>
        <v>153.3541492949133</v>
      </c>
      <c r="BP44" s="16">
        <f t="shared" si="91"/>
        <v>0.71424228092953357</v>
      </c>
      <c r="BQ44" s="17">
        <f t="shared" si="92"/>
        <v>11.779289356423995</v>
      </c>
      <c r="BR44" s="5">
        <f t="shared" si="25"/>
        <v>72.95972130595726</v>
      </c>
      <c r="BS44" s="5">
        <f t="shared" si="26"/>
        <v>1.2110000000000021</v>
      </c>
      <c r="BT44">
        <f t="shared" si="93"/>
        <v>8.3475000000000001</v>
      </c>
      <c r="BU44" s="5">
        <f t="shared" si="34"/>
        <v>82.518221305957255</v>
      </c>
      <c r="BV44" s="5">
        <f t="shared" si="27"/>
        <v>16.812928516760138</v>
      </c>
      <c r="BW44" s="5">
        <f t="shared" si="28"/>
        <v>5.1222398259067177</v>
      </c>
      <c r="BX44">
        <f t="shared" si="94"/>
        <v>5.4059999999999997</v>
      </c>
      <c r="BY44" s="5">
        <f t="shared" si="35"/>
        <v>27.341168342666855</v>
      </c>
      <c r="BZ44" s="5">
        <f t="shared" si="36"/>
        <v>109.8593896486241</v>
      </c>
      <c r="CA44" s="9">
        <f t="shared" ref="CA44:CA52" si="139">CA43*(1+$DA$74)</f>
        <v>96.036068724216904</v>
      </c>
      <c r="CB44" s="9">
        <f t="shared" si="37"/>
        <v>7.3766288513035638</v>
      </c>
      <c r="CC44" s="16">
        <f t="shared" ref="CC44:CC52" si="140">CC43*(1+$CU$62)</f>
        <v>22.296332382751107</v>
      </c>
      <c r="CD44" s="16">
        <f t="shared" si="38"/>
        <v>0.1866371455571626</v>
      </c>
      <c r="CE44" s="9">
        <f t="shared" si="39"/>
        <v>249.3902180191302</v>
      </c>
      <c r="CF44" s="9">
        <f t="shared" si="42"/>
        <v>5828.9115278831805</v>
      </c>
      <c r="CG44" s="9">
        <f t="shared" si="29"/>
        <v>19.155918207727556</v>
      </c>
      <c r="CH44" s="9">
        <f t="shared" si="30"/>
        <v>178.55429003017417</v>
      </c>
      <c r="CI44" s="9">
        <f t="shared" si="43"/>
        <v>3351.4470965590531</v>
      </c>
      <c r="CJ44" s="9">
        <f t="shared" si="40"/>
        <v>107.62223709415659</v>
      </c>
      <c r="CK44" s="9">
        <f t="shared" si="46"/>
        <v>2550.1821478617262</v>
      </c>
      <c r="CL44" s="9">
        <f t="shared" si="31"/>
        <v>0.90087942648669617</v>
      </c>
      <c r="CM44" s="9">
        <f t="shared" si="32"/>
        <v>49.637500725417965</v>
      </c>
      <c r="CN44" s="9">
        <f t="shared" si="47"/>
        <v>2610.4934636838752</v>
      </c>
      <c r="CO44" s="9">
        <f t="shared" si="33"/>
        <v>228.19179075559214</v>
      </c>
      <c r="CP44" s="9">
        <f t="shared" si="44"/>
        <v>5961.9405602429269</v>
      </c>
      <c r="CR44" s="18" t="s">
        <v>84</v>
      </c>
      <c r="CS44" s="19" t="s">
        <v>78</v>
      </c>
      <c r="CT44" s="19" t="s">
        <v>80</v>
      </c>
      <c r="CU44" s="20">
        <v>0</v>
      </c>
      <c r="CV44" s="28">
        <f>(AR62-AR53)/AR53</f>
        <v>0</v>
      </c>
      <c r="CX44" s="18" t="s">
        <v>83</v>
      </c>
      <c r="CY44" s="19" t="s">
        <v>99</v>
      </c>
      <c r="CZ44" s="19" t="s">
        <v>80</v>
      </c>
      <c r="DA44" s="20">
        <v>0</v>
      </c>
      <c r="DB44" s="40">
        <f>(AY52-AY43)/AY43</f>
        <v>0</v>
      </c>
    </row>
    <row r="45" spans="1:106" x14ac:dyDescent="0.3">
      <c r="A45" s="1">
        <v>2033</v>
      </c>
      <c r="B45" s="15">
        <f t="shared" si="95"/>
        <v>93594500</v>
      </c>
      <c r="C45" s="15">
        <f t="shared" si="108"/>
        <v>9440400</v>
      </c>
      <c r="D45" s="15">
        <f t="shared" si="109"/>
        <v>4604500</v>
      </c>
      <c r="E45" s="2">
        <f t="shared" si="96"/>
        <v>31262992.800000001</v>
      </c>
      <c r="F45" s="11">
        <f t="shared" si="13"/>
        <v>0.39300000000000002</v>
      </c>
      <c r="J45" s="2">
        <f t="shared" si="97"/>
        <v>14707399.999999998</v>
      </c>
      <c r="K45" s="12">
        <f t="shared" si="98"/>
        <v>0.18488339350543559</v>
      </c>
      <c r="P45" s="15">
        <f t="shared" si="110"/>
        <v>79549600</v>
      </c>
      <c r="Q45" s="15">
        <f t="shared" si="70"/>
        <v>28842261140.293148</v>
      </c>
      <c r="R45" s="15">
        <f t="shared" si="81"/>
        <v>266795521185.67737</v>
      </c>
      <c r="S45" s="34">
        <f t="shared" si="111"/>
        <v>308.16192340675093</v>
      </c>
      <c r="T45" s="15">
        <f t="shared" si="112"/>
        <v>28261.039912045821</v>
      </c>
      <c r="U45" s="34">
        <f t="shared" si="71"/>
        <v>362.56953071157051</v>
      </c>
      <c r="V45" s="15">
        <f t="shared" si="72"/>
        <v>1685.836007817664</v>
      </c>
      <c r="W45" s="14">
        <f t="shared" si="113"/>
        <v>59</v>
      </c>
      <c r="X45" s="15">
        <f t="shared" si="114"/>
        <v>1335.836007817664</v>
      </c>
      <c r="Y45" s="35">
        <f t="shared" si="115"/>
        <v>64</v>
      </c>
      <c r="Z45" s="35">
        <f t="shared" si="116"/>
        <v>227</v>
      </c>
      <c r="AA45" s="33">
        <f t="shared" si="21"/>
        <v>0.38767686527610107</v>
      </c>
      <c r="AB45" s="54">
        <f t="shared" si="82"/>
        <v>47.203408218894594</v>
      </c>
      <c r="AC45" s="15">
        <f t="shared" si="73"/>
        <v>4993.3708143558624</v>
      </c>
      <c r="AD45" s="14">
        <f t="shared" si="117"/>
        <v>165.92112899999998</v>
      </c>
      <c r="AE45" s="14">
        <f t="shared" si="118"/>
        <v>214.43607899999998</v>
      </c>
      <c r="AF45" s="35">
        <f t="shared" si="119"/>
        <v>2910.8969999999999</v>
      </c>
      <c r="AG45" s="14">
        <f t="shared" si="120"/>
        <v>80.53481699999999</v>
      </c>
      <c r="AH45" s="14">
        <f t="shared" si="121"/>
        <v>225.10936800000002</v>
      </c>
      <c r="AI45" s="14">
        <f t="shared" si="122"/>
        <v>457.98112799999996</v>
      </c>
      <c r="AJ45" s="14">
        <f t="shared" si="123"/>
        <v>296.911494</v>
      </c>
      <c r="AK45" s="14">
        <f t="shared" si="124"/>
        <v>641.57979935586275</v>
      </c>
      <c r="AL45" s="54">
        <f t="shared" si="83"/>
        <v>139.81438280196414</v>
      </c>
      <c r="AM45" s="16">
        <f t="shared" si="22"/>
        <v>0.25509586766026454</v>
      </c>
      <c r="AN45" s="16">
        <f t="shared" si="23"/>
        <v>0.11951486156272145</v>
      </c>
      <c r="AO45" s="15">
        <f t="shared" si="74"/>
        <v>6679.2068221735262</v>
      </c>
      <c r="AP45" s="15">
        <f t="shared" si="75"/>
        <v>1137.7937151412655</v>
      </c>
      <c r="AQ45" s="15">
        <f t="shared" si="125"/>
        <v>1126.7937151412655</v>
      </c>
      <c r="AR45" s="35">
        <f t="shared" si="126"/>
        <v>9</v>
      </c>
      <c r="AS45" s="14">
        <f t="shared" si="127"/>
        <v>2</v>
      </c>
      <c r="AT45" s="47">
        <f t="shared" si="84"/>
        <v>31.85822402395543</v>
      </c>
      <c r="AU45" s="14">
        <f t="shared" si="61"/>
        <v>135</v>
      </c>
      <c r="AV45" s="14">
        <f t="shared" si="128"/>
        <v>20</v>
      </c>
      <c r="AW45" s="14">
        <f t="shared" si="129"/>
        <v>10</v>
      </c>
      <c r="AX45" s="14">
        <f t="shared" si="130"/>
        <v>5</v>
      </c>
      <c r="AY45" s="14">
        <f t="shared" si="131"/>
        <v>7</v>
      </c>
      <c r="AZ45" s="14">
        <f t="shared" si="132"/>
        <v>13</v>
      </c>
      <c r="BA45" s="14">
        <f t="shared" si="133"/>
        <v>10</v>
      </c>
      <c r="BB45" s="14">
        <f t="shared" si="134"/>
        <v>70</v>
      </c>
      <c r="BC45" s="47">
        <f t="shared" si="85"/>
        <v>3.7800000000000002</v>
      </c>
      <c r="BD45" s="14">
        <f t="shared" si="76"/>
        <v>20.399999999999999</v>
      </c>
      <c r="BE45" s="14">
        <f t="shared" si="135"/>
        <v>11.7</v>
      </c>
      <c r="BF45" s="14">
        <f t="shared" si="136"/>
        <v>8.6999999999999993</v>
      </c>
      <c r="BG45" s="1" t="s">
        <v>48</v>
      </c>
      <c r="BH45" s="47">
        <f t="shared" si="86"/>
        <v>5.4059999999999997</v>
      </c>
      <c r="BI45" s="14">
        <f t="shared" si="77"/>
        <v>31.5</v>
      </c>
      <c r="BJ45" s="14">
        <f t="shared" si="137"/>
        <v>21.2</v>
      </c>
      <c r="BK45" s="14">
        <f t="shared" si="138"/>
        <v>10.3</v>
      </c>
      <c r="BL45" s="2">
        <f t="shared" si="87"/>
        <v>2823.6297229589295</v>
      </c>
      <c r="BM45" s="2">
        <f t="shared" si="88"/>
        <v>5128.3708143558624</v>
      </c>
      <c r="BN45" s="9">
        <f t="shared" si="89"/>
        <v>84.46763224285003</v>
      </c>
      <c r="BO45" s="9">
        <f t="shared" si="90"/>
        <v>151.94188280196414</v>
      </c>
      <c r="BP45" s="16">
        <f t="shared" si="91"/>
        <v>0.69798409871218259</v>
      </c>
      <c r="BQ45" s="17">
        <f t="shared" si="92"/>
        <v>11.614003216790149</v>
      </c>
      <c r="BR45" s="5">
        <f t="shared" si="25"/>
        <v>71.441154092897705</v>
      </c>
      <c r="BS45" s="5">
        <f t="shared" si="26"/>
        <v>1.9250000000000007</v>
      </c>
      <c r="BT45">
        <f t="shared" si="93"/>
        <v>8.3475000000000001</v>
      </c>
      <c r="BU45" s="5">
        <f t="shared" si="34"/>
        <v>81.713654092897698</v>
      </c>
      <c r="BV45" s="5">
        <f t="shared" si="27"/>
        <v>15.815439231592507</v>
      </c>
      <c r="BW45" s="5">
        <f t="shared" si="28"/>
        <v>5.4447548285181142</v>
      </c>
      <c r="BX45">
        <f t="shared" si="94"/>
        <v>5.4059999999999997</v>
      </c>
      <c r="BY45" s="5">
        <f t="shared" si="35"/>
        <v>26.66619406011062</v>
      </c>
      <c r="BZ45" s="5">
        <f t="shared" si="36"/>
        <v>108.37984815300831</v>
      </c>
      <c r="CA45" s="9">
        <f t="shared" si="139"/>
        <v>95.075708036974731</v>
      </c>
      <c r="CB45" s="9">
        <f t="shared" si="37"/>
        <v>7.2673153617506152</v>
      </c>
      <c r="CC45" s="16">
        <f t="shared" si="140"/>
        <v>22.073369058923596</v>
      </c>
      <c r="CD45" s="16">
        <f t="shared" si="38"/>
        <v>0.18239957956721717</v>
      </c>
      <c r="CE45" s="9">
        <f t="shared" si="39"/>
        <v>247.01759083893887</v>
      </c>
      <c r="CF45" s="9">
        <f t="shared" si="42"/>
        <v>6075.9291187221197</v>
      </c>
      <c r="CG45" s="9">
        <f t="shared" si="29"/>
        <v>18.881318578540764</v>
      </c>
      <c r="CH45" s="9">
        <f t="shared" si="30"/>
        <v>176.78936212987242</v>
      </c>
      <c r="CI45" s="9">
        <f t="shared" si="43"/>
        <v>3528.2364586889253</v>
      </c>
      <c r="CJ45" s="9">
        <f t="shared" si="40"/>
        <v>106.54100130177363</v>
      </c>
      <c r="CK45" s="9">
        <f t="shared" si="46"/>
        <v>2656.7231491634998</v>
      </c>
      <c r="CL45" s="9">
        <f t="shared" si="31"/>
        <v>0.88038367827939978</v>
      </c>
      <c r="CM45" s="9">
        <f t="shared" si="32"/>
        <v>48.739563119034216</v>
      </c>
      <c r="CN45" s="9">
        <f t="shared" si="47"/>
        <v>2659.2330268029095</v>
      </c>
      <c r="CO45" s="9">
        <f t="shared" si="33"/>
        <v>225.52892524890663</v>
      </c>
      <c r="CP45" s="9">
        <f t="shared" si="44"/>
        <v>6187.4694854918334</v>
      </c>
      <c r="CR45" s="18" t="s">
        <v>84</v>
      </c>
      <c r="CS45" s="19" t="s">
        <v>79</v>
      </c>
      <c r="CT45" s="19" t="s">
        <v>80</v>
      </c>
      <c r="CU45" s="20">
        <v>-1.4999999999999999E-2</v>
      </c>
      <c r="CV45" s="28">
        <f>(AQ62-AQ53)/AQ53</f>
        <v>-0.12717721598056561</v>
      </c>
      <c r="CX45" s="18" t="s">
        <v>83</v>
      </c>
      <c r="CY45" s="19" t="s">
        <v>100</v>
      </c>
      <c r="CZ45" s="19" t="s">
        <v>80</v>
      </c>
      <c r="DA45" s="20">
        <v>0</v>
      </c>
      <c r="DB45" s="40">
        <f>((BA52+AZ52)-(BA43+AZ43))/(AZ43+BA43)</f>
        <v>0</v>
      </c>
    </row>
    <row r="46" spans="1:106" x14ac:dyDescent="0.3">
      <c r="A46" s="1">
        <v>2034</v>
      </c>
      <c r="B46" s="15">
        <f t="shared" si="95"/>
        <v>93594500</v>
      </c>
      <c r="C46" s="15">
        <f t="shared" si="108"/>
        <v>9440400</v>
      </c>
      <c r="D46" s="15">
        <f t="shared" si="109"/>
        <v>4604500</v>
      </c>
      <c r="E46" s="2">
        <f t="shared" si="96"/>
        <v>31262992.800000001</v>
      </c>
      <c r="F46" s="11">
        <f t="shared" si="13"/>
        <v>0.39300000000000002</v>
      </c>
      <c r="J46" s="2">
        <f t="shared" si="97"/>
        <v>14707399.999999998</v>
      </c>
      <c r="K46" s="12">
        <f t="shared" si="98"/>
        <v>0.18488339350543559</v>
      </c>
      <c r="P46" s="15">
        <f t="shared" si="110"/>
        <v>79549600</v>
      </c>
      <c r="Q46" s="15">
        <f t="shared" si="70"/>
        <v>28982652890.293148</v>
      </c>
      <c r="R46" s="15">
        <f t="shared" si="81"/>
        <v>270263862961.09113</v>
      </c>
      <c r="S46" s="34">
        <f t="shared" si="111"/>
        <v>309.66192340675093</v>
      </c>
      <c r="T46" s="15">
        <f t="shared" si="112"/>
        <v>28628.433430902413</v>
      </c>
      <c r="U46" s="34">
        <f t="shared" si="71"/>
        <v>364.33436359570817</v>
      </c>
      <c r="V46" s="15">
        <f t="shared" si="72"/>
        <v>1672.4776477394873</v>
      </c>
      <c r="W46" s="14">
        <f t="shared" si="113"/>
        <v>59</v>
      </c>
      <c r="X46" s="15">
        <f t="shared" si="114"/>
        <v>1322.4776477394873</v>
      </c>
      <c r="Y46" s="35">
        <f t="shared" si="115"/>
        <v>64</v>
      </c>
      <c r="Z46" s="35">
        <f t="shared" si="116"/>
        <v>227</v>
      </c>
      <c r="AA46" s="33">
        <f t="shared" si="21"/>
        <v>0.38380009662333997</v>
      </c>
      <c r="AB46" s="54">
        <f t="shared" si="82"/>
        <v>46.829374136705646</v>
      </c>
      <c r="AC46" s="15">
        <f t="shared" si="73"/>
        <v>4943.4371062123046</v>
      </c>
      <c r="AD46" s="14">
        <f t="shared" si="117"/>
        <v>164.26191770999998</v>
      </c>
      <c r="AE46" s="14">
        <f t="shared" si="118"/>
        <v>212.29171820999997</v>
      </c>
      <c r="AF46" s="35">
        <f t="shared" si="119"/>
        <v>2881.7880299999997</v>
      </c>
      <c r="AG46" s="14">
        <f t="shared" si="120"/>
        <v>79.729468829999988</v>
      </c>
      <c r="AH46" s="14">
        <f t="shared" si="121"/>
        <v>222.85827432000002</v>
      </c>
      <c r="AI46" s="14">
        <f t="shared" si="122"/>
        <v>453.40131671999995</v>
      </c>
      <c r="AJ46" s="14">
        <f t="shared" si="123"/>
        <v>293.94237906000001</v>
      </c>
      <c r="AK46" s="14">
        <f t="shared" si="124"/>
        <v>635.16400136230413</v>
      </c>
      <c r="AL46" s="54">
        <f t="shared" si="83"/>
        <v>138.41623897394453</v>
      </c>
      <c r="AM46" s="16">
        <f t="shared" si="22"/>
        <v>0.25254490898366183</v>
      </c>
      <c r="AN46" s="16">
        <f t="shared" si="23"/>
        <v>0.11831971294709422</v>
      </c>
      <c r="AO46" s="15">
        <f t="shared" si="74"/>
        <v>6615.9147539517917</v>
      </c>
      <c r="AP46" s="15">
        <f t="shared" si="75"/>
        <v>1120.8918094141466</v>
      </c>
      <c r="AQ46" s="15">
        <f t="shared" si="125"/>
        <v>1109.8918094141466</v>
      </c>
      <c r="AR46" s="35">
        <f t="shared" si="126"/>
        <v>9</v>
      </c>
      <c r="AS46" s="14">
        <f t="shared" si="127"/>
        <v>2</v>
      </c>
      <c r="AT46" s="47">
        <f t="shared" si="84"/>
        <v>31.3849706635961</v>
      </c>
      <c r="AU46" s="14">
        <f t="shared" si="61"/>
        <v>135</v>
      </c>
      <c r="AV46" s="14">
        <f t="shared" si="128"/>
        <v>20</v>
      </c>
      <c r="AW46" s="14">
        <f t="shared" si="129"/>
        <v>10</v>
      </c>
      <c r="AX46" s="14">
        <f t="shared" si="130"/>
        <v>5</v>
      </c>
      <c r="AY46" s="14">
        <f t="shared" si="131"/>
        <v>7</v>
      </c>
      <c r="AZ46" s="14">
        <f t="shared" si="132"/>
        <v>13</v>
      </c>
      <c r="BA46" s="14">
        <f t="shared" si="133"/>
        <v>10</v>
      </c>
      <c r="BB46" s="14">
        <f t="shared" si="134"/>
        <v>70</v>
      </c>
      <c r="BC46" s="47">
        <f t="shared" si="85"/>
        <v>3.7800000000000002</v>
      </c>
      <c r="BD46" s="14">
        <f t="shared" si="76"/>
        <v>20.399999999999999</v>
      </c>
      <c r="BE46" s="14">
        <f t="shared" si="135"/>
        <v>11.7</v>
      </c>
      <c r="BF46" s="14">
        <f t="shared" si="136"/>
        <v>8.6999999999999993</v>
      </c>
      <c r="BG46" s="1" t="s">
        <v>48</v>
      </c>
      <c r="BH46" s="47">
        <f t="shared" si="86"/>
        <v>5.4059999999999997</v>
      </c>
      <c r="BI46" s="14">
        <f t="shared" si="77"/>
        <v>31.5</v>
      </c>
      <c r="BJ46" s="14">
        <f t="shared" si="137"/>
        <v>21.2</v>
      </c>
      <c r="BK46" s="14">
        <f t="shared" si="138"/>
        <v>10.3</v>
      </c>
      <c r="BL46" s="2">
        <f t="shared" si="87"/>
        <v>2793.3694571536339</v>
      </c>
      <c r="BM46" s="2">
        <f t="shared" si="88"/>
        <v>5078.4371062123046</v>
      </c>
      <c r="BN46" s="9">
        <f t="shared" si="89"/>
        <v>83.620344800301766</v>
      </c>
      <c r="BO46" s="9">
        <f t="shared" si="90"/>
        <v>150.54373897394453</v>
      </c>
      <c r="BP46" s="16">
        <f t="shared" si="91"/>
        <v>0.6821151837831223</v>
      </c>
      <c r="BQ46" s="17">
        <f t="shared" si="92"/>
        <v>11.451392633829407</v>
      </c>
      <c r="BR46" s="5">
        <f t="shared" si="25"/>
        <v>72.485562551968769</v>
      </c>
      <c r="BS46" s="5">
        <f t="shared" si="26"/>
        <v>2.163000000000002</v>
      </c>
      <c r="BT46">
        <f t="shared" si="93"/>
        <v>8.3475000000000001</v>
      </c>
      <c r="BU46" s="5">
        <f t="shared" si="34"/>
        <v>82.996062551968762</v>
      </c>
      <c r="BV46" s="5">
        <f t="shared" si="27"/>
        <v>12.336064839276588</v>
      </c>
      <c r="BW46" s="5">
        <f t="shared" si="28"/>
        <v>0.56391710609037204</v>
      </c>
      <c r="BX46">
        <f t="shared" si="94"/>
        <v>5.4059999999999997</v>
      </c>
      <c r="BY46" s="5">
        <f t="shared" si="35"/>
        <v>18.305981945366959</v>
      </c>
      <c r="BZ46" s="5">
        <f t="shared" si="36"/>
        <v>101.30204449733571</v>
      </c>
      <c r="CA46" s="9">
        <f t="shared" si="139"/>
        <v>94.124950956604977</v>
      </c>
      <c r="CB46" s="9">
        <f t="shared" si="37"/>
        <v>7.1597914160387122</v>
      </c>
      <c r="CC46" s="16">
        <f t="shared" si="140"/>
        <v>21.852635368334361</v>
      </c>
      <c r="CD46" s="16">
        <f t="shared" si="38"/>
        <v>0.178258226822848</v>
      </c>
      <c r="CE46" s="9">
        <f t="shared" si="39"/>
        <v>244.6686899305495</v>
      </c>
      <c r="CF46" s="9">
        <f t="shared" si="42"/>
        <v>6320.5978086526693</v>
      </c>
      <c r="CG46" s="9">
        <f t="shared" si="29"/>
        <v>18.611184049868122</v>
      </c>
      <c r="CH46" s="9">
        <f t="shared" si="30"/>
        <v>177.12101350857375</v>
      </c>
      <c r="CI46" s="9">
        <f t="shared" si="43"/>
        <v>3705.3574721974992</v>
      </c>
      <c r="CJ46" s="9">
        <f t="shared" si="40"/>
        <v>105.47298016863613</v>
      </c>
      <c r="CK46" s="9">
        <f t="shared" si="46"/>
        <v>2762.196129332136</v>
      </c>
      <c r="CL46" s="9">
        <f t="shared" si="31"/>
        <v>0.86037341060597028</v>
      </c>
      <c r="CM46" s="9">
        <f t="shared" si="32"/>
        <v>40.15861731370132</v>
      </c>
      <c r="CN46" s="9">
        <f t="shared" si="47"/>
        <v>2699.3916441166107</v>
      </c>
      <c r="CO46" s="9">
        <f t="shared" si="33"/>
        <v>217.27963082227507</v>
      </c>
      <c r="CP46" s="9">
        <f t="shared" si="44"/>
        <v>6404.7491163141085</v>
      </c>
      <c r="CR46" s="18" t="s">
        <v>84</v>
      </c>
      <c r="CS46" s="19" t="s">
        <v>75</v>
      </c>
      <c r="CT46" s="19" t="s">
        <v>81</v>
      </c>
      <c r="CU46" s="20">
        <v>0</v>
      </c>
      <c r="CV46" s="28" t="s">
        <v>92</v>
      </c>
      <c r="CX46" s="18" t="s">
        <v>83</v>
      </c>
      <c r="CY46" s="19" t="s">
        <v>98</v>
      </c>
      <c r="CZ46" s="19" t="s">
        <v>80</v>
      </c>
      <c r="DA46" s="20">
        <v>0</v>
      </c>
      <c r="DB46" s="40">
        <f>((AW52+AV52)-(AW43+AV43))/(AW43+AV43)</f>
        <v>0</v>
      </c>
    </row>
    <row r="47" spans="1:106" x14ac:dyDescent="0.3">
      <c r="A47" s="1">
        <v>2035</v>
      </c>
      <c r="B47" s="15">
        <f t="shared" si="95"/>
        <v>93594500</v>
      </c>
      <c r="C47" s="15">
        <f t="shared" si="108"/>
        <v>9440400</v>
      </c>
      <c r="D47" s="15">
        <f t="shared" si="109"/>
        <v>4604500</v>
      </c>
      <c r="E47" s="2">
        <f t="shared" si="96"/>
        <v>31262992.800000001</v>
      </c>
      <c r="F47" s="11">
        <f t="shared" si="13"/>
        <v>0.39300000000000002</v>
      </c>
      <c r="J47" s="2">
        <f t="shared" si="97"/>
        <v>14707399.999999998</v>
      </c>
      <c r="K47" s="12">
        <f t="shared" si="98"/>
        <v>0.18488339350543559</v>
      </c>
      <c r="P47" s="15">
        <f t="shared" si="110"/>
        <v>79549600</v>
      </c>
      <c r="Q47" s="15">
        <f t="shared" si="70"/>
        <v>29123044640.293148</v>
      </c>
      <c r="R47" s="15">
        <f t="shared" si="81"/>
        <v>273777293179.58527</v>
      </c>
      <c r="S47" s="34">
        <f t="shared" si="111"/>
        <v>311.16192340675093</v>
      </c>
      <c r="T47" s="15">
        <f t="shared" si="112"/>
        <v>29000.60306550414</v>
      </c>
      <c r="U47" s="34">
        <f t="shared" si="71"/>
        <v>366.09919647984589</v>
      </c>
      <c r="V47" s="15">
        <f t="shared" si="72"/>
        <v>1659.2528712620924</v>
      </c>
      <c r="W47" s="14">
        <f t="shared" si="113"/>
        <v>59</v>
      </c>
      <c r="X47" s="15">
        <f t="shared" si="114"/>
        <v>1309.2528712620924</v>
      </c>
      <c r="Y47" s="35">
        <f t="shared" si="115"/>
        <v>64</v>
      </c>
      <c r="Z47" s="35">
        <f t="shared" si="116"/>
        <v>227</v>
      </c>
      <c r="AA47" s="33">
        <f t="shared" si="21"/>
        <v>0.37996209565710654</v>
      </c>
      <c r="AB47" s="54">
        <f t="shared" si="82"/>
        <v>46.459080395338589</v>
      </c>
      <c r="AC47" s="15">
        <f t="shared" si="73"/>
        <v>4894.0027351501803</v>
      </c>
      <c r="AD47" s="14">
        <f t="shared" si="117"/>
        <v>162.61929853289999</v>
      </c>
      <c r="AE47" s="14">
        <f t="shared" si="118"/>
        <v>210.16880102789997</v>
      </c>
      <c r="AF47" s="35">
        <f t="shared" si="119"/>
        <v>2852.9701496999996</v>
      </c>
      <c r="AG47" s="14">
        <f t="shared" si="120"/>
        <v>78.932174141699988</v>
      </c>
      <c r="AH47" s="14">
        <f t="shared" si="121"/>
        <v>220.62969157680001</v>
      </c>
      <c r="AI47" s="14">
        <f t="shared" si="122"/>
        <v>448.86730355279997</v>
      </c>
      <c r="AJ47" s="14">
        <f t="shared" si="123"/>
        <v>291.00295526939999</v>
      </c>
      <c r="AK47" s="14">
        <f t="shared" si="124"/>
        <v>628.81236134868107</v>
      </c>
      <c r="AL47" s="54">
        <f t="shared" si="83"/>
        <v>137.03207658420504</v>
      </c>
      <c r="AM47" s="16">
        <f t="shared" si="22"/>
        <v>0.25001945989382524</v>
      </c>
      <c r="AN47" s="16">
        <f t="shared" si="23"/>
        <v>0.11713651581762329</v>
      </c>
      <c r="AO47" s="15">
        <f t="shared" si="74"/>
        <v>6553.2556064122728</v>
      </c>
      <c r="AP47" s="15">
        <f t="shared" si="75"/>
        <v>1104.2434322729343</v>
      </c>
      <c r="AQ47" s="15">
        <f t="shared" si="125"/>
        <v>1093.2434322729343</v>
      </c>
      <c r="AR47" s="35">
        <f t="shared" si="126"/>
        <v>9</v>
      </c>
      <c r="AS47" s="14">
        <f t="shared" si="127"/>
        <v>2</v>
      </c>
      <c r="AT47" s="47">
        <f t="shared" si="84"/>
        <v>30.918816103642165</v>
      </c>
      <c r="AU47" s="14">
        <f t="shared" si="61"/>
        <v>135</v>
      </c>
      <c r="AV47" s="14">
        <f t="shared" si="128"/>
        <v>20</v>
      </c>
      <c r="AW47" s="14">
        <f t="shared" si="129"/>
        <v>10</v>
      </c>
      <c r="AX47" s="14">
        <f t="shared" si="130"/>
        <v>5</v>
      </c>
      <c r="AY47" s="14">
        <f t="shared" si="131"/>
        <v>7</v>
      </c>
      <c r="AZ47" s="14">
        <f t="shared" si="132"/>
        <v>13</v>
      </c>
      <c r="BA47" s="14">
        <f t="shared" si="133"/>
        <v>10</v>
      </c>
      <c r="BB47" s="14">
        <f t="shared" si="134"/>
        <v>70</v>
      </c>
      <c r="BC47" s="47">
        <f t="shared" si="85"/>
        <v>3.7800000000000002</v>
      </c>
      <c r="BD47" s="14">
        <f t="shared" si="76"/>
        <v>20.399999999999999</v>
      </c>
      <c r="BE47" s="14">
        <f t="shared" si="135"/>
        <v>11.7</v>
      </c>
      <c r="BF47" s="14">
        <f t="shared" si="136"/>
        <v>8.6999999999999993</v>
      </c>
      <c r="BG47" s="1" t="s">
        <v>48</v>
      </c>
      <c r="BH47" s="47">
        <f t="shared" si="86"/>
        <v>5.4059999999999997</v>
      </c>
      <c r="BI47" s="14">
        <f t="shared" si="77"/>
        <v>31.5</v>
      </c>
      <c r="BJ47" s="14">
        <f t="shared" si="137"/>
        <v>21.2</v>
      </c>
      <c r="BK47" s="14">
        <f t="shared" si="138"/>
        <v>10.3</v>
      </c>
      <c r="BL47" s="2">
        <f t="shared" si="87"/>
        <v>2763.4963035350265</v>
      </c>
      <c r="BM47" s="2">
        <f t="shared" si="88"/>
        <v>5029.0027351501803</v>
      </c>
      <c r="BN47" s="9">
        <f t="shared" si="89"/>
        <v>82.783896498980752</v>
      </c>
      <c r="BO47" s="9">
        <f t="shared" si="90"/>
        <v>149.15957658420507</v>
      </c>
      <c r="BP47" s="16">
        <f t="shared" si="91"/>
        <v>0.66662589793327653</v>
      </c>
      <c r="BQ47" s="17">
        <f t="shared" si="92"/>
        <v>11.291408222961131</v>
      </c>
      <c r="BR47" s="5">
        <f t="shared" si="25"/>
        <v>58.837306926448946</v>
      </c>
      <c r="BS47" s="5">
        <f t="shared" si="26"/>
        <v>1.4490000000000016</v>
      </c>
      <c r="BT47">
        <f t="shared" si="93"/>
        <v>8.3475000000000001</v>
      </c>
      <c r="BU47" s="5">
        <f t="shared" si="34"/>
        <v>68.633806926448941</v>
      </c>
      <c r="BV47" s="5">
        <f t="shared" si="27"/>
        <v>7.4456341908838226</v>
      </c>
      <c r="BW47" s="5">
        <f t="shared" si="28"/>
        <v>-6.6647630505009943</v>
      </c>
      <c r="BX47">
        <f t="shared" si="94"/>
        <v>5.4059999999999997</v>
      </c>
      <c r="BY47" s="5">
        <f t="shared" si="35"/>
        <v>6.186871140382828</v>
      </c>
      <c r="BZ47" s="5">
        <f t="shared" si="36"/>
        <v>74.820678066831775</v>
      </c>
      <c r="CA47" s="9">
        <f t="shared" si="139"/>
        <v>93.183701447038928</v>
      </c>
      <c r="CB47" s="9">
        <f t="shared" si="37"/>
        <v>7.0540238639727288</v>
      </c>
      <c r="CC47" s="16">
        <f t="shared" si="140"/>
        <v>21.634109014651017</v>
      </c>
      <c r="CD47" s="16">
        <f t="shared" si="38"/>
        <v>0.17421090281798576</v>
      </c>
      <c r="CE47" s="9">
        <f t="shared" si="39"/>
        <v>242.34327803124398</v>
      </c>
      <c r="CF47" s="9">
        <f t="shared" si="42"/>
        <v>6562.9410866839135</v>
      </c>
      <c r="CG47" s="9">
        <f t="shared" si="29"/>
        <v>18.345432086933858</v>
      </c>
      <c r="CH47" s="9">
        <f t="shared" si="30"/>
        <v>161.81750837348787</v>
      </c>
      <c r="CI47" s="9">
        <f t="shared" si="43"/>
        <v>3867.1749805709869</v>
      </c>
      <c r="CJ47" s="9">
        <f t="shared" si="40"/>
        <v>104.41800551363177</v>
      </c>
      <c r="CK47" s="9">
        <f t="shared" si="46"/>
        <v>2866.6141348457677</v>
      </c>
      <c r="CL47" s="9">
        <f t="shared" si="31"/>
        <v>0.84083680075126233</v>
      </c>
      <c r="CM47" s="9">
        <f t="shared" si="32"/>
        <v>27.820980155033844</v>
      </c>
      <c r="CN47" s="9">
        <f t="shared" si="47"/>
        <v>2727.2126242716445</v>
      </c>
      <c r="CO47" s="9">
        <f t="shared" si="33"/>
        <v>189.63848852852172</v>
      </c>
      <c r="CP47" s="9">
        <f t="shared" si="44"/>
        <v>6594.38760484263</v>
      </c>
      <c r="CR47" s="18" t="s">
        <v>84</v>
      </c>
      <c r="CS47" s="19" t="s">
        <v>78</v>
      </c>
      <c r="CT47" s="19" t="s">
        <v>81</v>
      </c>
      <c r="CU47" s="20">
        <v>0</v>
      </c>
      <c r="CV47" s="28">
        <f>(BF62-BF53)/BF53</f>
        <v>0</v>
      </c>
      <c r="CX47" s="18" t="s">
        <v>83</v>
      </c>
      <c r="CY47" s="19" t="s">
        <v>18</v>
      </c>
      <c r="CZ47" s="19" t="s">
        <v>80</v>
      </c>
      <c r="DA47" s="20">
        <v>0</v>
      </c>
      <c r="DB47" s="40">
        <f>(AX52-AX43)/AX43</f>
        <v>0</v>
      </c>
    </row>
    <row r="48" spans="1:106" x14ac:dyDescent="0.3">
      <c r="A48" s="1">
        <v>2036</v>
      </c>
      <c r="B48" s="15">
        <f t="shared" si="95"/>
        <v>93594500</v>
      </c>
      <c r="C48" s="15">
        <f t="shared" si="108"/>
        <v>9440400</v>
      </c>
      <c r="D48" s="15">
        <f t="shared" si="109"/>
        <v>4604500</v>
      </c>
      <c r="E48" s="2">
        <f t="shared" si="96"/>
        <v>31262992.800000001</v>
      </c>
      <c r="F48" s="11">
        <f t="shared" si="13"/>
        <v>0.39300000000000002</v>
      </c>
      <c r="J48" s="2">
        <f t="shared" si="97"/>
        <v>14707399.999999998</v>
      </c>
      <c r="K48" s="12">
        <f t="shared" si="98"/>
        <v>0.18488339350543559</v>
      </c>
      <c r="P48" s="15">
        <f t="shared" si="110"/>
        <v>79549600</v>
      </c>
      <c r="Q48" s="15">
        <f t="shared" si="70"/>
        <v>29263436390.293148</v>
      </c>
      <c r="R48" s="15">
        <f t="shared" si="81"/>
        <v>277336397990.91986</v>
      </c>
      <c r="S48" s="34">
        <f t="shared" si="111"/>
        <v>312.66192340675093</v>
      </c>
      <c r="T48" s="15">
        <f t="shared" si="112"/>
        <v>29377.61090535569</v>
      </c>
      <c r="U48" s="34">
        <f t="shared" si="71"/>
        <v>367.8640293639836</v>
      </c>
      <c r="V48" s="15">
        <f t="shared" si="72"/>
        <v>1646.1603425494716</v>
      </c>
      <c r="W48" s="14">
        <f t="shared" si="113"/>
        <v>59</v>
      </c>
      <c r="X48" s="15">
        <f t="shared" si="114"/>
        <v>1296.1603425494716</v>
      </c>
      <c r="Y48" s="35">
        <f t="shared" si="115"/>
        <v>64</v>
      </c>
      <c r="Z48" s="35">
        <f t="shared" si="116"/>
        <v>227</v>
      </c>
      <c r="AA48" s="33">
        <f t="shared" si="21"/>
        <v>0.37616247470053554</v>
      </c>
      <c r="AB48" s="54">
        <f t="shared" si="82"/>
        <v>46.092489591385203</v>
      </c>
      <c r="AC48" s="15">
        <f t="shared" si="73"/>
        <v>4845.0627077986792</v>
      </c>
      <c r="AD48" s="14">
        <f t="shared" si="117"/>
        <v>160.99310554757099</v>
      </c>
      <c r="AE48" s="14">
        <f t="shared" si="118"/>
        <v>208.06711301762098</v>
      </c>
      <c r="AF48" s="35">
        <f t="shared" si="119"/>
        <v>2824.4404482029995</v>
      </c>
      <c r="AG48" s="14">
        <f t="shared" si="120"/>
        <v>78.14285240028299</v>
      </c>
      <c r="AH48" s="14">
        <f t="shared" si="121"/>
        <v>218.42339466103201</v>
      </c>
      <c r="AI48" s="14">
        <f t="shared" si="122"/>
        <v>444.37863051727197</v>
      </c>
      <c r="AJ48" s="14">
        <f t="shared" si="123"/>
        <v>288.09292571670596</v>
      </c>
      <c r="AK48" s="14">
        <f t="shared" si="124"/>
        <v>622.52423773519422</v>
      </c>
      <c r="AL48" s="54">
        <f t="shared" si="83"/>
        <v>135.66175581836302</v>
      </c>
      <c r="AM48" s="16">
        <f t="shared" si="22"/>
        <v>0.24751926529488699</v>
      </c>
      <c r="AN48" s="16">
        <f t="shared" si="23"/>
        <v>0.11596515065944706</v>
      </c>
      <c r="AO48" s="15">
        <f t="shared" si="74"/>
        <v>6491.2230503481505</v>
      </c>
      <c r="AP48" s="15">
        <f t="shared" si="75"/>
        <v>1087.8447807888404</v>
      </c>
      <c r="AQ48" s="15">
        <f t="shared" si="125"/>
        <v>1076.8447807888404</v>
      </c>
      <c r="AR48" s="35">
        <f t="shared" si="126"/>
        <v>9</v>
      </c>
      <c r="AS48" s="14">
        <f t="shared" si="127"/>
        <v>2</v>
      </c>
      <c r="AT48" s="47">
        <f t="shared" si="84"/>
        <v>30.459653862087528</v>
      </c>
      <c r="AU48" s="14">
        <f t="shared" si="61"/>
        <v>135</v>
      </c>
      <c r="AV48" s="14">
        <f t="shared" si="128"/>
        <v>20</v>
      </c>
      <c r="AW48" s="14">
        <f t="shared" si="129"/>
        <v>10</v>
      </c>
      <c r="AX48" s="14">
        <f t="shared" si="130"/>
        <v>5</v>
      </c>
      <c r="AY48" s="14">
        <f t="shared" si="131"/>
        <v>7</v>
      </c>
      <c r="AZ48" s="14">
        <f t="shared" si="132"/>
        <v>13</v>
      </c>
      <c r="BA48" s="14">
        <f t="shared" si="133"/>
        <v>10</v>
      </c>
      <c r="BB48" s="14">
        <f t="shared" si="134"/>
        <v>70</v>
      </c>
      <c r="BC48" s="47">
        <f t="shared" si="85"/>
        <v>3.7800000000000002</v>
      </c>
      <c r="BD48" s="14">
        <f t="shared" si="76"/>
        <v>20.399999999999999</v>
      </c>
      <c r="BE48" s="14">
        <f t="shared" si="135"/>
        <v>11.7</v>
      </c>
      <c r="BF48" s="14">
        <f t="shared" si="136"/>
        <v>8.6999999999999993</v>
      </c>
      <c r="BG48" s="1" t="s">
        <v>48</v>
      </c>
      <c r="BH48" s="47">
        <f t="shared" si="86"/>
        <v>5.4059999999999997</v>
      </c>
      <c r="BI48" s="14">
        <f t="shared" si="77"/>
        <v>31.5</v>
      </c>
      <c r="BJ48" s="14">
        <f t="shared" si="137"/>
        <v>21.2</v>
      </c>
      <c r="BK48" s="14">
        <f t="shared" si="138"/>
        <v>10.3</v>
      </c>
      <c r="BL48" s="2">
        <f t="shared" si="87"/>
        <v>2734.0051233383119</v>
      </c>
      <c r="BM48" s="2">
        <f t="shared" si="88"/>
        <v>4980.0627077986792</v>
      </c>
      <c r="BN48" s="9">
        <f t="shared" si="89"/>
        <v>81.958143453472729</v>
      </c>
      <c r="BO48" s="9">
        <f t="shared" si="90"/>
        <v>147.78925581836302</v>
      </c>
      <c r="BP48" s="16">
        <f t="shared" si="91"/>
        <v>0.65150684702521733</v>
      </c>
      <c r="BQ48" s="17">
        <f t="shared" si="92"/>
        <v>11.134001653693534</v>
      </c>
      <c r="BR48" s="5">
        <f t="shared" si="25"/>
        <v>29.186753857184613</v>
      </c>
      <c r="BS48" s="5">
        <f t="shared" si="26"/>
        <v>0.73500000000000121</v>
      </c>
      <c r="BT48">
        <f t="shared" si="93"/>
        <v>8.3475000000000001</v>
      </c>
      <c r="BU48" s="5">
        <f t="shared" si="34"/>
        <v>38.269253857184609</v>
      </c>
      <c r="BV48" s="5">
        <f t="shared" si="27"/>
        <v>3.8809778489749931</v>
      </c>
      <c r="BW48" s="5">
        <f t="shared" si="28"/>
        <v>-11.838768004743486</v>
      </c>
      <c r="BX48">
        <f t="shared" si="94"/>
        <v>5.4059999999999997</v>
      </c>
      <c r="BY48" s="5">
        <f t="shared" si="35"/>
        <v>-2.5517901557684928</v>
      </c>
      <c r="BZ48" s="5">
        <f t="shared" si="36"/>
        <v>35.717463701416115</v>
      </c>
      <c r="CA48" s="9">
        <f t="shared" si="139"/>
        <v>92.251864432568539</v>
      </c>
      <c r="CB48" s="9">
        <f t="shared" si="37"/>
        <v>6.9499802638623702</v>
      </c>
      <c r="CC48" s="16">
        <f t="shared" si="140"/>
        <v>21.417767924504506</v>
      </c>
      <c r="CD48" s="16">
        <f t="shared" si="38"/>
        <v>0.17025547264541549</v>
      </c>
      <c r="CE48" s="9">
        <f t="shared" si="39"/>
        <v>240.04112025093156</v>
      </c>
      <c r="CF48" s="9">
        <f t="shared" si="42"/>
        <v>6802.9822069348447</v>
      </c>
      <c r="CG48" s="9">
        <f t="shared" si="29"/>
        <v>18.083981917555903</v>
      </c>
      <c r="CH48" s="9">
        <f t="shared" si="30"/>
        <v>130.52111828975313</v>
      </c>
      <c r="CI48" s="9">
        <f t="shared" si="43"/>
        <v>3997.6960988607402</v>
      </c>
      <c r="CJ48" s="9">
        <f t="shared" si="40"/>
        <v>103.37591137797723</v>
      </c>
      <c r="CK48" s="9">
        <f t="shared" si="46"/>
        <v>2969.9900462237451</v>
      </c>
      <c r="CL48" s="9">
        <f t="shared" si="31"/>
        <v>0.82176231967063285</v>
      </c>
      <c r="CM48" s="9">
        <f t="shared" si="32"/>
        <v>18.865977768736013</v>
      </c>
      <c r="CN48" s="9">
        <f t="shared" si="47"/>
        <v>2746.0786020403807</v>
      </c>
      <c r="CO48" s="9">
        <f t="shared" si="33"/>
        <v>149.38709605848913</v>
      </c>
      <c r="CP48" s="9">
        <f t="shared" si="44"/>
        <v>6743.7747009011191</v>
      </c>
      <c r="CR48" s="18" t="s">
        <v>84</v>
      </c>
      <c r="CS48" s="19" t="s">
        <v>79</v>
      </c>
      <c r="CT48" s="19" t="s">
        <v>81</v>
      </c>
      <c r="CU48" s="20">
        <v>0</v>
      </c>
      <c r="CV48" s="28">
        <f>(BE62-BE53)/BE53</f>
        <v>0</v>
      </c>
      <c r="CX48" s="18" t="s">
        <v>83</v>
      </c>
      <c r="CY48" s="19" t="s">
        <v>98</v>
      </c>
      <c r="CZ48" s="19" t="s">
        <v>81</v>
      </c>
      <c r="DA48" s="20">
        <v>0</v>
      </c>
      <c r="DB48" s="40">
        <f>((BK52+BJ52)-(BK43+BJ43))/(BJ43+BK43)</f>
        <v>0</v>
      </c>
    </row>
    <row r="49" spans="1:106" x14ac:dyDescent="0.3">
      <c r="A49" s="1">
        <v>2037</v>
      </c>
      <c r="B49" s="15">
        <f t="shared" si="95"/>
        <v>93594500</v>
      </c>
      <c r="C49" s="15">
        <f t="shared" si="108"/>
        <v>9440400</v>
      </c>
      <c r="D49" s="15">
        <f t="shared" si="109"/>
        <v>4604500</v>
      </c>
      <c r="E49" s="2">
        <f t="shared" si="96"/>
        <v>31262992.800000001</v>
      </c>
      <c r="F49" s="11">
        <f t="shared" si="13"/>
        <v>0.39300000000000002</v>
      </c>
      <c r="J49" s="2">
        <f t="shared" si="97"/>
        <v>14707399.999999998</v>
      </c>
      <c r="K49" s="12">
        <f t="shared" si="98"/>
        <v>0.18488339350543559</v>
      </c>
      <c r="P49" s="15">
        <f t="shared" si="110"/>
        <v>79549600</v>
      </c>
      <c r="Q49" s="15">
        <f t="shared" si="70"/>
        <v>29403828140.293148</v>
      </c>
      <c r="R49" s="15">
        <f t="shared" si="81"/>
        <v>280941771164.80176</v>
      </c>
      <c r="S49" s="34">
        <f t="shared" si="111"/>
        <v>314.16192340675093</v>
      </c>
      <c r="T49" s="15">
        <f t="shared" si="112"/>
        <v>29759.51984712531</v>
      </c>
      <c r="U49" s="34">
        <f t="shared" si="71"/>
        <v>369.62886224812127</v>
      </c>
      <c r="V49" s="15">
        <f t="shared" si="72"/>
        <v>1633.1987391239768</v>
      </c>
      <c r="W49" s="14">
        <f t="shared" si="113"/>
        <v>59</v>
      </c>
      <c r="X49" s="15">
        <f t="shared" si="114"/>
        <v>1283.1987391239768</v>
      </c>
      <c r="Y49" s="35">
        <f t="shared" si="115"/>
        <v>64</v>
      </c>
      <c r="Z49" s="35">
        <f t="shared" si="116"/>
        <v>227</v>
      </c>
      <c r="AA49" s="33">
        <f t="shared" si="21"/>
        <v>0.37240084995353012</v>
      </c>
      <c r="AB49" s="54">
        <f t="shared" si="82"/>
        <v>45.729564695471353</v>
      </c>
      <c r="AC49" s="15">
        <f t="shared" si="73"/>
        <v>4796.6120807206917</v>
      </c>
      <c r="AD49" s="14">
        <f t="shared" si="117"/>
        <v>159.38317449209529</v>
      </c>
      <c r="AE49" s="14">
        <f t="shared" si="118"/>
        <v>205.98644188744478</v>
      </c>
      <c r="AF49" s="35">
        <f t="shared" si="119"/>
        <v>2796.1960437209696</v>
      </c>
      <c r="AG49" s="14">
        <f t="shared" si="120"/>
        <v>77.361423876280156</v>
      </c>
      <c r="AH49" s="14">
        <f t="shared" si="121"/>
        <v>216.23916071442167</v>
      </c>
      <c r="AI49" s="14">
        <f t="shared" si="122"/>
        <v>439.93484421209922</v>
      </c>
      <c r="AJ49" s="14">
        <f t="shared" si="123"/>
        <v>285.21199645953891</v>
      </c>
      <c r="AK49" s="14">
        <f t="shared" si="124"/>
        <v>616.29899535784227</v>
      </c>
      <c r="AL49" s="54">
        <f t="shared" si="83"/>
        <v>134.30513826017938</v>
      </c>
      <c r="AM49" s="16">
        <f t="shared" si="22"/>
        <v>0.24504407264193812</v>
      </c>
      <c r="AN49" s="16">
        <f t="shared" si="23"/>
        <v>0.11480549915285258</v>
      </c>
      <c r="AO49" s="15">
        <f t="shared" si="74"/>
        <v>6429.810819844668</v>
      </c>
      <c r="AP49" s="15">
        <f t="shared" si="75"/>
        <v>1071.6921090770077</v>
      </c>
      <c r="AQ49" s="15">
        <f t="shared" si="125"/>
        <v>1060.6921090770077</v>
      </c>
      <c r="AR49" s="35">
        <f t="shared" si="126"/>
        <v>9</v>
      </c>
      <c r="AS49" s="14">
        <f t="shared" si="127"/>
        <v>2</v>
      </c>
      <c r="AT49" s="47">
        <f t="shared" si="84"/>
        <v>30.007379054156218</v>
      </c>
      <c r="AU49" s="14">
        <f t="shared" si="61"/>
        <v>135</v>
      </c>
      <c r="AV49" s="14">
        <f t="shared" si="128"/>
        <v>20</v>
      </c>
      <c r="AW49" s="14">
        <f t="shared" si="129"/>
        <v>10</v>
      </c>
      <c r="AX49" s="14">
        <f t="shared" si="130"/>
        <v>5</v>
      </c>
      <c r="AY49" s="14">
        <f t="shared" si="131"/>
        <v>7</v>
      </c>
      <c r="AZ49" s="14">
        <f t="shared" si="132"/>
        <v>13</v>
      </c>
      <c r="BA49" s="14">
        <f t="shared" si="133"/>
        <v>10</v>
      </c>
      <c r="BB49" s="14">
        <f t="shared" si="134"/>
        <v>70</v>
      </c>
      <c r="BC49" s="47">
        <f t="shared" si="85"/>
        <v>3.7800000000000002</v>
      </c>
      <c r="BD49" s="14">
        <f t="shared" si="76"/>
        <v>20.399999999999999</v>
      </c>
      <c r="BE49" s="14">
        <f t="shared" si="135"/>
        <v>11.7</v>
      </c>
      <c r="BF49" s="14">
        <f t="shared" si="136"/>
        <v>8.6999999999999993</v>
      </c>
      <c r="BG49" s="1" t="s">
        <v>48</v>
      </c>
      <c r="BH49" s="47">
        <f t="shared" si="86"/>
        <v>5.4059999999999997</v>
      </c>
      <c r="BI49" s="14">
        <f t="shared" si="77"/>
        <v>31.5</v>
      </c>
      <c r="BJ49" s="14">
        <f t="shared" si="137"/>
        <v>21.2</v>
      </c>
      <c r="BK49" s="14">
        <f t="shared" si="138"/>
        <v>10.3</v>
      </c>
      <c r="BL49" s="2">
        <f t="shared" si="87"/>
        <v>2704.8908482009847</v>
      </c>
      <c r="BM49" s="2">
        <f t="shared" si="88"/>
        <v>4931.6120807206917</v>
      </c>
      <c r="BN49" s="9">
        <f t="shared" si="89"/>
        <v>81.142943749627577</v>
      </c>
      <c r="BO49" s="9">
        <f t="shared" si="90"/>
        <v>146.43263826017937</v>
      </c>
      <c r="BP49" s="16">
        <f t="shared" si="91"/>
        <v>0.63674887471385166</v>
      </c>
      <c r="BQ49" s="17">
        <f t="shared" si="92"/>
        <v>10.979125623400481</v>
      </c>
      <c r="BR49" s="5">
        <f t="shared" si="25"/>
        <v>7.2142763186126331</v>
      </c>
      <c r="BS49" s="5">
        <f t="shared" si="26"/>
        <v>0.25900000000000034</v>
      </c>
      <c r="BT49">
        <f t="shared" si="93"/>
        <v>8.3475000000000001</v>
      </c>
      <c r="BU49" s="5">
        <f t="shared" si="34"/>
        <v>15.820776318612634</v>
      </c>
      <c r="BV49" s="5">
        <f t="shared" si="27"/>
        <v>1.2849280704852504</v>
      </c>
      <c r="BW49" s="5">
        <f t="shared" si="28"/>
        <v>-15.196572884672321</v>
      </c>
      <c r="BX49">
        <f t="shared" si="94"/>
        <v>5.4059999999999997</v>
      </c>
      <c r="BY49" s="5">
        <f t="shared" si="35"/>
        <v>-8.5056448141870717</v>
      </c>
      <c r="BZ49" s="5">
        <f t="shared" si="36"/>
        <v>7.3151315044255618</v>
      </c>
      <c r="CA49" s="9">
        <f t="shared" si="139"/>
        <v>91.329345788242847</v>
      </c>
      <c r="CB49" s="9">
        <f t="shared" si="37"/>
        <v>6.84762886488795</v>
      </c>
      <c r="CC49" s="16">
        <f t="shared" si="140"/>
        <v>21.203590245259463</v>
      </c>
      <c r="CD49" s="16">
        <f t="shared" si="38"/>
        <v>0.16638984987064304</v>
      </c>
      <c r="CE49" s="9">
        <f t="shared" si="39"/>
        <v>237.76198404842222</v>
      </c>
      <c r="CF49" s="9">
        <f t="shared" si="42"/>
        <v>7040.7441909832669</v>
      </c>
      <c r="CG49" s="9">
        <f t="shared" si="29"/>
        <v>17.826754488288429</v>
      </c>
      <c r="CH49" s="9">
        <f t="shared" si="30"/>
        <v>107.15012210685548</v>
      </c>
      <c r="CI49" s="9">
        <f t="shared" si="43"/>
        <v>4104.8462209675954</v>
      </c>
      <c r="CJ49" s="9">
        <f t="shared" si="40"/>
        <v>102.34653399488704</v>
      </c>
      <c r="CK49" s="9">
        <f t="shared" si="46"/>
        <v>3072.3365802186322</v>
      </c>
      <c r="CL49" s="9">
        <f t="shared" si="31"/>
        <v>0.80313872458449465</v>
      </c>
      <c r="CM49" s="9">
        <f t="shared" si="32"/>
        <v>12.697945431072391</v>
      </c>
      <c r="CN49" s="9">
        <f t="shared" si="47"/>
        <v>2758.7765474714529</v>
      </c>
      <c r="CO49" s="9">
        <f t="shared" si="33"/>
        <v>119.84806753792788</v>
      </c>
      <c r="CP49" s="9">
        <f t="shared" si="44"/>
        <v>6863.6227684390469</v>
      </c>
      <c r="CR49" s="24" t="s">
        <v>73</v>
      </c>
      <c r="CS49" s="25" t="s">
        <v>72</v>
      </c>
      <c r="CT49" s="25" t="s">
        <v>76</v>
      </c>
      <c r="CU49" s="25" t="s">
        <v>88</v>
      </c>
      <c r="CV49" s="26" t="s">
        <v>87</v>
      </c>
      <c r="CX49" s="18" t="s">
        <v>84</v>
      </c>
      <c r="CY49" s="19" t="s">
        <v>95</v>
      </c>
      <c r="CZ49" s="19" t="s">
        <v>77</v>
      </c>
      <c r="DA49" s="20">
        <v>-1.4999999999999999E-2</v>
      </c>
      <c r="DB49" s="40">
        <f>(AF62-AF53)/AF53</f>
        <v>-0.12717721598056542</v>
      </c>
    </row>
    <row r="50" spans="1:106" x14ac:dyDescent="0.3">
      <c r="A50" s="1">
        <v>2038</v>
      </c>
      <c r="B50" s="15">
        <f t="shared" si="95"/>
        <v>93594500</v>
      </c>
      <c r="C50" s="15">
        <f t="shared" si="108"/>
        <v>9440400</v>
      </c>
      <c r="D50" s="15">
        <f t="shared" si="109"/>
        <v>4604500</v>
      </c>
      <c r="E50" s="2">
        <f t="shared" si="96"/>
        <v>31262992.800000001</v>
      </c>
      <c r="F50" s="11">
        <f t="shared" si="13"/>
        <v>0.39300000000000002</v>
      </c>
      <c r="J50" s="2">
        <f t="shared" si="97"/>
        <v>14707399.999999998</v>
      </c>
      <c r="K50" s="12">
        <f t="shared" si="98"/>
        <v>0.18488339350543559</v>
      </c>
      <c r="P50" s="15">
        <f t="shared" si="110"/>
        <v>79549600</v>
      </c>
      <c r="Q50" s="15">
        <f t="shared" si="70"/>
        <v>29544219890.293148</v>
      </c>
      <c r="R50" s="15">
        <f t="shared" si="81"/>
        <v>284594014189.94415</v>
      </c>
      <c r="S50" s="34">
        <f t="shared" si="111"/>
        <v>315.66192340675093</v>
      </c>
      <c r="T50" s="15">
        <f t="shared" si="112"/>
        <v>30146.393605137935</v>
      </c>
      <c r="U50" s="34">
        <f t="shared" si="71"/>
        <v>371.39369513225898</v>
      </c>
      <c r="V50" s="15">
        <f t="shared" si="72"/>
        <v>1620.3667517327369</v>
      </c>
      <c r="W50" s="14">
        <f t="shared" si="113"/>
        <v>59</v>
      </c>
      <c r="X50" s="15">
        <f t="shared" si="114"/>
        <v>1270.3667517327369</v>
      </c>
      <c r="Y50" s="35">
        <f t="shared" si="115"/>
        <v>64</v>
      </c>
      <c r="Z50" s="35">
        <f t="shared" si="116"/>
        <v>227</v>
      </c>
      <c r="AA50" s="33">
        <f t="shared" si="21"/>
        <v>0.36867684145399482</v>
      </c>
      <c r="AB50" s="54">
        <f t="shared" si="82"/>
        <v>45.370269048516633</v>
      </c>
      <c r="AC50" s="15">
        <f t="shared" si="73"/>
        <v>4748.6459599134851</v>
      </c>
      <c r="AD50" s="14">
        <f t="shared" si="117"/>
        <v>157.78934274717435</v>
      </c>
      <c r="AE50" s="14">
        <f t="shared" si="118"/>
        <v>203.92657746857034</v>
      </c>
      <c r="AF50" s="35">
        <f t="shared" si="119"/>
        <v>2768.2340832837599</v>
      </c>
      <c r="AG50" s="14">
        <f t="shared" si="120"/>
        <v>76.587809637517353</v>
      </c>
      <c r="AH50" s="14">
        <f t="shared" si="121"/>
        <v>214.07676910727744</v>
      </c>
      <c r="AI50" s="14">
        <f t="shared" si="122"/>
        <v>435.53549576997824</v>
      </c>
      <c r="AJ50" s="14">
        <f t="shared" si="123"/>
        <v>282.35987649494353</v>
      </c>
      <c r="AK50" s="14">
        <f t="shared" si="124"/>
        <v>610.13600540426387</v>
      </c>
      <c r="AL50" s="54">
        <f t="shared" si="83"/>
        <v>132.96208687757758</v>
      </c>
      <c r="AM50" s="16">
        <f t="shared" si="22"/>
        <v>0.24259363191551875</v>
      </c>
      <c r="AN50" s="16">
        <f t="shared" si="23"/>
        <v>0.11365744416132405</v>
      </c>
      <c r="AO50" s="15">
        <f t="shared" si="74"/>
        <v>6369.0127116462218</v>
      </c>
      <c r="AP50" s="15">
        <f t="shared" si="75"/>
        <v>1055.7817274408526</v>
      </c>
      <c r="AQ50" s="15">
        <f t="shared" si="125"/>
        <v>1044.7817274408526</v>
      </c>
      <c r="AR50" s="35">
        <f t="shared" si="126"/>
        <v>9</v>
      </c>
      <c r="AS50" s="14">
        <f t="shared" si="127"/>
        <v>2</v>
      </c>
      <c r="AT50" s="47">
        <f t="shared" si="84"/>
        <v>29.561888368343872</v>
      </c>
      <c r="AU50" s="14">
        <f t="shared" si="61"/>
        <v>135</v>
      </c>
      <c r="AV50" s="14">
        <f t="shared" si="128"/>
        <v>20</v>
      </c>
      <c r="AW50" s="14">
        <f t="shared" si="129"/>
        <v>10</v>
      </c>
      <c r="AX50" s="14">
        <f t="shared" si="130"/>
        <v>5</v>
      </c>
      <c r="AY50" s="14">
        <f t="shared" si="131"/>
        <v>7</v>
      </c>
      <c r="AZ50" s="14">
        <f t="shared" si="132"/>
        <v>13</v>
      </c>
      <c r="BA50" s="14">
        <f t="shared" si="133"/>
        <v>10</v>
      </c>
      <c r="BB50" s="14">
        <f t="shared" si="134"/>
        <v>70</v>
      </c>
      <c r="BC50" s="47">
        <f t="shared" si="85"/>
        <v>3.7800000000000002</v>
      </c>
      <c r="BD50" s="14">
        <f t="shared" si="76"/>
        <v>20.399999999999999</v>
      </c>
      <c r="BE50" s="14">
        <f t="shared" si="135"/>
        <v>11.7</v>
      </c>
      <c r="BF50" s="14">
        <f t="shared" si="136"/>
        <v>8.6999999999999993</v>
      </c>
      <c r="BG50" s="1" t="s">
        <v>48</v>
      </c>
      <c r="BH50" s="47">
        <f t="shared" si="86"/>
        <v>5.4059999999999997</v>
      </c>
      <c r="BI50" s="14">
        <f t="shared" si="77"/>
        <v>31.5</v>
      </c>
      <c r="BJ50" s="14">
        <f t="shared" si="137"/>
        <v>21.2</v>
      </c>
      <c r="BK50" s="14">
        <f t="shared" si="138"/>
        <v>10.3</v>
      </c>
      <c r="BL50" s="2">
        <f t="shared" si="87"/>
        <v>2676.1484791735893</v>
      </c>
      <c r="BM50" s="2">
        <f t="shared" si="88"/>
        <v>4883.6459599134851</v>
      </c>
      <c r="BN50" s="9">
        <f t="shared" si="89"/>
        <v>80.338157416860511</v>
      </c>
      <c r="BO50" s="9">
        <f t="shared" si="90"/>
        <v>145.08958687757757</v>
      </c>
      <c r="BP50" s="16">
        <f t="shared" si="91"/>
        <v>0.62234305633058251</v>
      </c>
      <c r="BQ50" s="17">
        <f t="shared" si="92"/>
        <v>10.826733831856515</v>
      </c>
      <c r="BR50" s="5">
        <f t="shared" si="25"/>
        <v>-7.5567464445734913</v>
      </c>
      <c r="BS50" s="5">
        <f t="shared" si="26"/>
        <v>0.37800000000000011</v>
      </c>
      <c r="BT50">
        <f t="shared" si="93"/>
        <v>8.3475000000000001</v>
      </c>
      <c r="BU50" s="5">
        <f t="shared" si="34"/>
        <v>1.1687535554265089</v>
      </c>
      <c r="BV50" s="5">
        <f t="shared" si="27"/>
        <v>-2.0086812102196632</v>
      </c>
      <c r="BW50" s="5">
        <f t="shared" si="28"/>
        <v>-19.832645691402234</v>
      </c>
      <c r="BX50">
        <f t="shared" si="94"/>
        <v>5.4059999999999997</v>
      </c>
      <c r="BY50" s="5">
        <f t="shared" si="35"/>
        <v>-16.435326901621899</v>
      </c>
      <c r="BZ50" s="5">
        <f t="shared" si="36"/>
        <v>-15.26657334619539</v>
      </c>
      <c r="CA50" s="9">
        <f t="shared" si="139"/>
        <v>90.416052330360415</v>
      </c>
      <c r="CB50" s="9">
        <f t="shared" si="37"/>
        <v>6.7469385899761285</v>
      </c>
      <c r="CC50" s="16">
        <f t="shared" si="140"/>
        <v>20.991554342806868</v>
      </c>
      <c r="CD50" s="16">
        <f t="shared" si="38"/>
        <v>0.16261199543132934</v>
      </c>
      <c r="CE50" s="9">
        <f t="shared" si="39"/>
        <v>235.50563920793797</v>
      </c>
      <c r="CF50" s="9">
        <f t="shared" si="42"/>
        <v>7276.2498301912046</v>
      </c>
      <c r="CG50" s="9">
        <f t="shared" si="29"/>
        <v>17.573672421832644</v>
      </c>
      <c r="CH50" s="9">
        <f t="shared" si="30"/>
        <v>91.58480588578692</v>
      </c>
      <c r="CI50" s="9">
        <f t="shared" si="43"/>
        <v>4196.4310268533827</v>
      </c>
      <c r="CJ50" s="9">
        <f t="shared" si="40"/>
        <v>101.32971175966738</v>
      </c>
      <c r="CK50" s="9">
        <f t="shared" si="46"/>
        <v>3173.6662919782998</v>
      </c>
      <c r="CL50" s="9">
        <f t="shared" si="31"/>
        <v>0.78495505176191183</v>
      </c>
      <c r="CM50" s="9">
        <f t="shared" si="32"/>
        <v>4.5562274411849693</v>
      </c>
      <c r="CN50" s="9">
        <f t="shared" si="47"/>
        <v>2763.3327749126379</v>
      </c>
      <c r="CO50" s="9">
        <f t="shared" si="33"/>
        <v>96.141033326971893</v>
      </c>
      <c r="CP50" s="9">
        <f t="shared" si="44"/>
        <v>6959.7638017660192</v>
      </c>
      <c r="CR50" s="18" t="s">
        <v>74</v>
      </c>
      <c r="CS50" s="19" t="s">
        <v>85</v>
      </c>
      <c r="CT50" s="19"/>
      <c r="CU50" s="20">
        <v>1.2999999999999999E-2</v>
      </c>
      <c r="CV50" s="28">
        <f>(T37-T32)/T32</f>
        <v>6.6712113176292345E-2</v>
      </c>
      <c r="CX50" s="18" t="s">
        <v>84</v>
      </c>
      <c r="CY50" s="19" t="s">
        <v>99</v>
      </c>
      <c r="CZ50" s="19" t="s">
        <v>77</v>
      </c>
      <c r="DA50" s="20">
        <v>-1.4999999999999999E-2</v>
      </c>
      <c r="DB50" s="40">
        <f>(AD62-AD53)/AD53</f>
        <v>-0.12717721598056528</v>
      </c>
    </row>
    <row r="51" spans="1:106" x14ac:dyDescent="0.3">
      <c r="A51" s="1">
        <v>2039</v>
      </c>
      <c r="B51" s="15">
        <f t="shared" si="95"/>
        <v>93594500</v>
      </c>
      <c r="C51" s="15">
        <f t="shared" si="108"/>
        <v>9440400</v>
      </c>
      <c r="D51" s="15">
        <f t="shared" si="109"/>
        <v>4604500</v>
      </c>
      <c r="E51" s="2">
        <f t="shared" si="96"/>
        <v>31262992.800000001</v>
      </c>
      <c r="F51" s="11">
        <f t="shared" si="13"/>
        <v>0.39300000000000002</v>
      </c>
      <c r="J51" s="2">
        <f t="shared" si="97"/>
        <v>14707399.999999998</v>
      </c>
      <c r="K51" s="12">
        <f t="shared" si="98"/>
        <v>0.18488339350543559</v>
      </c>
      <c r="P51" s="15">
        <f t="shared" si="110"/>
        <v>79549600</v>
      </c>
      <c r="Q51" s="15">
        <f t="shared" si="70"/>
        <v>29684611640.293148</v>
      </c>
      <c r="R51" s="15">
        <f t="shared" si="81"/>
        <v>288293736374.41339</v>
      </c>
      <c r="S51" s="34">
        <f t="shared" si="111"/>
        <v>317.16192340675093</v>
      </c>
      <c r="T51" s="15">
        <f t="shared" si="112"/>
        <v>30538.296722004725</v>
      </c>
      <c r="U51" s="34">
        <f t="shared" si="71"/>
        <v>373.15852801639664</v>
      </c>
      <c r="V51" s="15">
        <f t="shared" si="72"/>
        <v>1607.6630842154095</v>
      </c>
      <c r="W51" s="14">
        <f t="shared" si="113"/>
        <v>59</v>
      </c>
      <c r="X51" s="15">
        <f t="shared" si="114"/>
        <v>1257.6630842154095</v>
      </c>
      <c r="Y51" s="35">
        <f t="shared" si="115"/>
        <v>64</v>
      </c>
      <c r="Z51" s="35">
        <f t="shared" si="116"/>
        <v>227</v>
      </c>
      <c r="AA51" s="33">
        <f t="shared" si="21"/>
        <v>0.36499007303945491</v>
      </c>
      <c r="AB51" s="54">
        <f t="shared" si="82"/>
        <v>45.014566358031466</v>
      </c>
      <c r="AC51" s="15">
        <f t="shared" si="73"/>
        <v>4701.1595003143502</v>
      </c>
      <c r="AD51" s="14">
        <f t="shared" si="117"/>
        <v>156.21144931970261</v>
      </c>
      <c r="AE51" s="14">
        <f t="shared" si="118"/>
        <v>201.88731169388464</v>
      </c>
      <c r="AF51" s="35">
        <f t="shared" si="119"/>
        <v>2740.5517424509221</v>
      </c>
      <c r="AG51" s="14">
        <f t="shared" si="120"/>
        <v>75.821931541142177</v>
      </c>
      <c r="AH51" s="14">
        <f t="shared" si="121"/>
        <v>211.93600141620468</v>
      </c>
      <c r="AI51" s="14">
        <f t="shared" si="122"/>
        <v>431.18014081227847</v>
      </c>
      <c r="AJ51" s="14">
        <f t="shared" si="123"/>
        <v>279.53627772999408</v>
      </c>
      <c r="AK51" s="14">
        <f t="shared" si="124"/>
        <v>604.03464535022124</v>
      </c>
      <c r="AL51" s="54">
        <f t="shared" si="83"/>
        <v>131.63246600880183</v>
      </c>
      <c r="AM51" s="16">
        <f t="shared" si="22"/>
        <v>0.2401676955963635</v>
      </c>
      <c r="AN51" s="16">
        <f t="shared" si="23"/>
        <v>0.11252086971971083</v>
      </c>
      <c r="AO51" s="15">
        <f t="shared" si="74"/>
        <v>6308.8225845297602</v>
      </c>
      <c r="AP51" s="15">
        <f t="shared" si="75"/>
        <v>1040.1100015292398</v>
      </c>
      <c r="AQ51" s="15">
        <f t="shared" si="125"/>
        <v>1029.1100015292398</v>
      </c>
      <c r="AR51" s="35">
        <f t="shared" si="126"/>
        <v>9</v>
      </c>
      <c r="AS51" s="14">
        <f t="shared" si="127"/>
        <v>2</v>
      </c>
      <c r="AT51" s="47">
        <f t="shared" si="84"/>
        <v>29.123080042818714</v>
      </c>
      <c r="AU51" s="14">
        <f t="shared" si="61"/>
        <v>135</v>
      </c>
      <c r="AV51" s="14">
        <f t="shared" si="128"/>
        <v>20</v>
      </c>
      <c r="AW51" s="14">
        <f t="shared" si="129"/>
        <v>10</v>
      </c>
      <c r="AX51" s="14">
        <f t="shared" si="130"/>
        <v>5</v>
      </c>
      <c r="AY51" s="14">
        <f t="shared" si="131"/>
        <v>7</v>
      </c>
      <c r="AZ51" s="14">
        <f t="shared" si="132"/>
        <v>13</v>
      </c>
      <c r="BA51" s="14">
        <f t="shared" si="133"/>
        <v>10</v>
      </c>
      <c r="BB51" s="14">
        <f t="shared" si="134"/>
        <v>70</v>
      </c>
      <c r="BC51" s="47">
        <f t="shared" si="85"/>
        <v>3.7800000000000002</v>
      </c>
      <c r="BD51" s="14">
        <f t="shared" si="76"/>
        <v>20.399999999999999</v>
      </c>
      <c r="BE51" s="14">
        <f t="shared" si="135"/>
        <v>11.7</v>
      </c>
      <c r="BF51" s="14">
        <f t="shared" si="136"/>
        <v>8.6999999999999993</v>
      </c>
      <c r="BG51" s="1" t="s">
        <v>48</v>
      </c>
      <c r="BH51" s="47">
        <f t="shared" si="86"/>
        <v>5.4059999999999997</v>
      </c>
      <c r="BI51" s="14">
        <f t="shared" si="77"/>
        <v>31.5</v>
      </c>
      <c r="BJ51" s="14">
        <f t="shared" si="137"/>
        <v>21.2</v>
      </c>
      <c r="BK51" s="14">
        <f t="shared" si="138"/>
        <v>10.3</v>
      </c>
      <c r="BL51" s="2">
        <f t="shared" si="87"/>
        <v>2647.7730857446495</v>
      </c>
      <c r="BM51" s="2">
        <f t="shared" si="88"/>
        <v>4836.1595003143502</v>
      </c>
      <c r="BN51" s="9">
        <f t="shared" si="89"/>
        <v>79.543646400850179</v>
      </c>
      <c r="BO51" s="9">
        <f t="shared" si="90"/>
        <v>143.7599660088018</v>
      </c>
      <c r="BP51" s="16">
        <f t="shared" si="91"/>
        <v>0.6082806929266541</v>
      </c>
      <c r="BQ51" s="17">
        <f t="shared" si="92"/>
        <v>10.676780956504867</v>
      </c>
      <c r="BR51" s="5">
        <f t="shared" si="25"/>
        <v>-17.982928980127781</v>
      </c>
      <c r="BS51" s="5">
        <f t="shared" si="26"/>
        <v>0.25900000000000034</v>
      </c>
      <c r="BT51">
        <f t="shared" si="93"/>
        <v>8.3475000000000001</v>
      </c>
      <c r="BU51" s="5">
        <f t="shared" si="34"/>
        <v>-9.3764289801277805</v>
      </c>
      <c r="BV51" s="5">
        <f t="shared" si="27"/>
        <v>-1.8350143981174654</v>
      </c>
      <c r="BW51" s="5">
        <f t="shared" si="28"/>
        <v>-20.511447406031209</v>
      </c>
      <c r="BX51">
        <f t="shared" si="94"/>
        <v>5.4059999999999997</v>
      </c>
      <c r="BY51" s="5">
        <f t="shared" si="35"/>
        <v>-16.940461804148676</v>
      </c>
      <c r="BZ51" s="5">
        <f t="shared" si="36"/>
        <v>-26.316890784276456</v>
      </c>
      <c r="CA51" s="9">
        <f t="shared" si="139"/>
        <v>89.511891807056813</v>
      </c>
      <c r="CB51" s="9">
        <f t="shared" si="37"/>
        <v>6.6478790191686254</v>
      </c>
      <c r="CC51" s="16">
        <f t="shared" si="140"/>
        <v>20.781638799378801</v>
      </c>
      <c r="CD51" s="16">
        <f t="shared" si="38"/>
        <v>0.15891991656171378</v>
      </c>
      <c r="CE51" s="9">
        <f t="shared" si="39"/>
        <v>233.2718578158586</v>
      </c>
      <c r="CF51" s="9">
        <f t="shared" si="42"/>
        <v>7509.5216880070629</v>
      </c>
      <c r="CG51" s="9">
        <f t="shared" si="29"/>
        <v>17.324659975673491</v>
      </c>
      <c r="CH51" s="9">
        <f t="shared" si="30"/>
        <v>80.135462826929029</v>
      </c>
      <c r="CI51" s="9">
        <f t="shared" si="43"/>
        <v>4276.5664896803119</v>
      </c>
      <c r="CJ51" s="9">
        <f t="shared" si="40"/>
        <v>100.32528520022898</v>
      </c>
      <c r="CK51" s="9">
        <f t="shared" si="46"/>
        <v>3273.9915771785286</v>
      </c>
      <c r="CL51" s="9">
        <f t="shared" si="31"/>
        <v>0.76720060948836777</v>
      </c>
      <c r="CM51" s="9">
        <f t="shared" si="32"/>
        <v>3.8411769952301249</v>
      </c>
      <c r="CN51" s="9">
        <f t="shared" si="47"/>
        <v>2767.1739519078678</v>
      </c>
      <c r="CO51" s="9">
        <f t="shared" si="33"/>
        <v>83.976639822159157</v>
      </c>
      <c r="CP51" s="9">
        <f t="shared" si="44"/>
        <v>7043.7404415881783</v>
      </c>
      <c r="CR51" s="18" t="s">
        <v>82</v>
      </c>
      <c r="CS51" s="19" t="s">
        <v>85</v>
      </c>
      <c r="CT51" s="19"/>
      <c r="CU51" s="20">
        <v>1.2999999999999999E-2</v>
      </c>
      <c r="CV51" s="28">
        <f>(T42-T38)/T38</f>
        <v>5.3022816560999643E-2</v>
      </c>
      <c r="CX51" s="18" t="s">
        <v>84</v>
      </c>
      <c r="CY51" s="19" t="s">
        <v>96</v>
      </c>
      <c r="CZ51" s="19" t="s">
        <v>77</v>
      </c>
      <c r="DA51" s="20">
        <v>-1.4999999999999999E-2</v>
      </c>
      <c r="DB51" s="40">
        <f>((AH62+AG62)-(AH53+AG53))/(AG53+AH53)</f>
        <v>-0.12717721598056561</v>
      </c>
    </row>
    <row r="52" spans="1:106" x14ac:dyDescent="0.3">
      <c r="A52" s="1">
        <v>2040</v>
      </c>
      <c r="B52" s="15">
        <f t="shared" si="95"/>
        <v>93594500</v>
      </c>
      <c r="C52" s="15">
        <f t="shared" si="108"/>
        <v>9440400</v>
      </c>
      <c r="D52" s="15">
        <f t="shared" si="109"/>
        <v>4604500</v>
      </c>
      <c r="E52" s="2">
        <f t="shared" si="96"/>
        <v>31262992.800000001</v>
      </c>
      <c r="F52" s="11">
        <f t="shared" si="13"/>
        <v>0.39300000000000002</v>
      </c>
      <c r="J52" s="2">
        <f t="shared" si="97"/>
        <v>14707399.999999998</v>
      </c>
      <c r="K52" s="12">
        <f t="shared" si="98"/>
        <v>0.18488339350543559</v>
      </c>
      <c r="P52" s="15">
        <f t="shared" si="110"/>
        <v>79549600</v>
      </c>
      <c r="Q52" s="15">
        <f t="shared" si="70"/>
        <v>29825003390.293148</v>
      </c>
      <c r="R52" s="15">
        <f t="shared" si="81"/>
        <v>292041554947.28076</v>
      </c>
      <c r="S52" s="34">
        <f t="shared" si="111"/>
        <v>318.66192340675093</v>
      </c>
      <c r="T52" s="15">
        <f t="shared" si="112"/>
        <v>30935.294579390782</v>
      </c>
      <c r="U52" s="34">
        <f t="shared" si="71"/>
        <v>374.92336090053436</v>
      </c>
      <c r="V52" s="15">
        <f t="shared" si="72"/>
        <v>1595.0864533732554</v>
      </c>
      <c r="W52" s="14">
        <f t="shared" si="113"/>
        <v>59</v>
      </c>
      <c r="X52" s="15">
        <f t="shared" si="114"/>
        <v>1245.0864533732554</v>
      </c>
      <c r="Y52" s="35">
        <f t="shared" si="115"/>
        <v>64</v>
      </c>
      <c r="Z52" s="35">
        <f t="shared" si="116"/>
        <v>227</v>
      </c>
      <c r="AA52" s="33">
        <f t="shared" si="21"/>
        <v>0.36134017230906035</v>
      </c>
      <c r="AB52" s="54">
        <f t="shared" si="82"/>
        <v>44.66242069445115</v>
      </c>
      <c r="AC52" s="15">
        <f t="shared" si="73"/>
        <v>4654.1479053112071</v>
      </c>
      <c r="AD52" s="14">
        <f t="shared" si="117"/>
        <v>154.64933482650559</v>
      </c>
      <c r="AE52" s="14">
        <f t="shared" si="118"/>
        <v>199.86843857694581</v>
      </c>
      <c r="AF52" s="35">
        <f t="shared" si="119"/>
        <v>2713.146225026413</v>
      </c>
      <c r="AG52" s="14">
        <f t="shared" si="120"/>
        <v>75.063712225730754</v>
      </c>
      <c r="AH52" s="14">
        <f t="shared" si="121"/>
        <v>209.81664140204262</v>
      </c>
      <c r="AI52" s="14">
        <f t="shared" si="122"/>
        <v>426.86833940415568</v>
      </c>
      <c r="AJ52" s="14">
        <f t="shared" si="123"/>
        <v>276.74091495269414</v>
      </c>
      <c r="AK52" s="14">
        <f t="shared" si="124"/>
        <v>597.99429889671899</v>
      </c>
      <c r="AL52" s="54">
        <f t="shared" si="83"/>
        <v>130.31614134871381</v>
      </c>
      <c r="AM52" s="16">
        <f t="shared" si="22"/>
        <v>0.23776601864039987</v>
      </c>
      <c r="AN52" s="16">
        <f t="shared" si="23"/>
        <v>0.11139566102251371</v>
      </c>
      <c r="AO52" s="15">
        <f t="shared" si="74"/>
        <v>6249.2343586844627</v>
      </c>
      <c r="AP52" s="15">
        <f t="shared" si="75"/>
        <v>1024.6733515063011</v>
      </c>
      <c r="AQ52" s="15">
        <f t="shared" si="125"/>
        <v>1013.6733515063012</v>
      </c>
      <c r="AR52" s="35">
        <f t="shared" si="126"/>
        <v>9</v>
      </c>
      <c r="AS52" s="14">
        <f t="shared" si="127"/>
        <v>2</v>
      </c>
      <c r="AT52" s="47">
        <f t="shared" si="84"/>
        <v>28.690853842176431</v>
      </c>
      <c r="AU52" s="14">
        <f t="shared" si="61"/>
        <v>135</v>
      </c>
      <c r="AV52" s="14">
        <f t="shared" si="128"/>
        <v>20</v>
      </c>
      <c r="AW52" s="14">
        <f t="shared" si="129"/>
        <v>10</v>
      </c>
      <c r="AX52" s="14">
        <f t="shared" si="130"/>
        <v>5</v>
      </c>
      <c r="AY52" s="14">
        <f t="shared" si="131"/>
        <v>7</v>
      </c>
      <c r="AZ52" s="14">
        <f t="shared" si="132"/>
        <v>13</v>
      </c>
      <c r="BA52" s="14">
        <f t="shared" si="133"/>
        <v>10</v>
      </c>
      <c r="BB52" s="14">
        <f t="shared" si="134"/>
        <v>70</v>
      </c>
      <c r="BC52" s="47">
        <f t="shared" si="85"/>
        <v>3.7800000000000002</v>
      </c>
      <c r="BD52" s="14">
        <f t="shared" si="76"/>
        <v>20.399999999999999</v>
      </c>
      <c r="BE52" s="14">
        <f t="shared" si="135"/>
        <v>11.7</v>
      </c>
      <c r="BF52" s="14">
        <f t="shared" si="136"/>
        <v>8.6999999999999993</v>
      </c>
      <c r="BG52" s="1" t="s">
        <v>48</v>
      </c>
      <c r="BH52" s="47">
        <f t="shared" si="86"/>
        <v>5.4059999999999997</v>
      </c>
      <c r="BI52" s="14">
        <f t="shared" si="77"/>
        <v>31.5</v>
      </c>
      <c r="BJ52" s="14">
        <f t="shared" si="137"/>
        <v>21.2</v>
      </c>
      <c r="BK52" s="14">
        <f t="shared" si="138"/>
        <v>10.3</v>
      </c>
      <c r="BL52" s="2">
        <f t="shared" si="87"/>
        <v>2619.7598048795562</v>
      </c>
      <c r="BM52" s="2">
        <f t="shared" si="88"/>
        <v>4789.1479053112071</v>
      </c>
      <c r="BN52" s="9">
        <f t="shared" si="89"/>
        <v>78.759274536627586</v>
      </c>
      <c r="BO52" s="9">
        <f t="shared" si="90"/>
        <v>142.44364134871381</v>
      </c>
      <c r="BP52" s="16">
        <f t="shared" si="91"/>
        <v>0.59455330547149121</v>
      </c>
      <c r="BQ52" s="17">
        <f t="shared" si="92"/>
        <v>10.529222628434203</v>
      </c>
      <c r="BR52" s="5">
        <f t="shared" si="25"/>
        <v>-24.064879690326393</v>
      </c>
      <c r="BS52" s="5">
        <f t="shared" si="26"/>
        <v>0.37800000000000011</v>
      </c>
      <c r="BT52">
        <f t="shared" si="93"/>
        <v>8.3475000000000001</v>
      </c>
      <c r="BU52" s="5">
        <f t="shared" si="34"/>
        <v>-15.339379690326393</v>
      </c>
      <c r="BV52" s="5">
        <f t="shared" si="27"/>
        <v>-3.4302342541362805</v>
      </c>
      <c r="BW52" s="5">
        <f t="shared" si="28"/>
        <v>-21.864912094940763</v>
      </c>
      <c r="BX52">
        <f t="shared" si="94"/>
        <v>5.4059999999999997</v>
      </c>
      <c r="BY52" s="5">
        <f t="shared" si="35"/>
        <v>-19.889146349077045</v>
      </c>
      <c r="BZ52" s="5">
        <f t="shared" si="36"/>
        <v>-35.228526039403434</v>
      </c>
      <c r="CA52" s="9">
        <f t="shared" si="139"/>
        <v>88.616772888986247</v>
      </c>
      <c r="CB52" s="9">
        <f t="shared" si="37"/>
        <v>6.5504203734676123</v>
      </c>
      <c r="CC52" s="16">
        <f t="shared" si="140"/>
        <v>20.573822411385013</v>
      </c>
      <c r="CD52" s="16">
        <f t="shared" si="38"/>
        <v>0.15531166574145772</v>
      </c>
      <c r="CE52" s="9">
        <f t="shared" si="39"/>
        <v>231.06041423770006</v>
      </c>
      <c r="CF52" s="9">
        <f t="shared" si="42"/>
        <v>7740.5821022447626</v>
      </c>
      <c r="CG52" s="9">
        <f t="shared" si="29"/>
        <v>17.079643001901815</v>
      </c>
      <c r="CH52" s="9">
        <f t="shared" si="30"/>
        <v>73.277393198659851</v>
      </c>
      <c r="CI52" s="9">
        <f t="shared" si="43"/>
        <v>4349.8438828789713</v>
      </c>
      <c r="CJ52" s="9">
        <f t="shared" si="40"/>
        <v>99.333096948012596</v>
      </c>
      <c r="CK52" s="9">
        <f t="shared" si="46"/>
        <v>3373.3246741265411</v>
      </c>
      <c r="CL52" s="9">
        <f t="shared" si="31"/>
        <v>0.74986497121294882</v>
      </c>
      <c r="CM52" s="9">
        <f t="shared" si="32"/>
        <v>0.68467606230796818</v>
      </c>
      <c r="CN52" s="9">
        <f t="shared" si="47"/>
        <v>2767.8586279701758</v>
      </c>
      <c r="CO52" s="9">
        <f t="shared" si="33"/>
        <v>73.962069260967823</v>
      </c>
      <c r="CP52" s="9">
        <f t="shared" si="44"/>
        <v>7117.7025108491462</v>
      </c>
      <c r="CR52" s="18" t="s">
        <v>83</v>
      </c>
      <c r="CS52" s="19" t="s">
        <v>85</v>
      </c>
      <c r="CT52" s="19"/>
      <c r="CU52" s="20">
        <v>1.2999999999999999E-2</v>
      </c>
      <c r="CV52" s="28">
        <f>(T52-T43)/T43</f>
        <v>0.12327219387663502</v>
      </c>
      <c r="CX52" s="18" t="s">
        <v>84</v>
      </c>
      <c r="CY52" s="19" t="s">
        <v>97</v>
      </c>
      <c r="CZ52" s="19" t="s">
        <v>77</v>
      </c>
      <c r="DA52" s="20">
        <v>-1.4999999999999999E-2</v>
      </c>
      <c r="DB52" s="40">
        <f>((AJ62+AI62)-(AJ53+AI53))/(AI53+AJ53)</f>
        <v>-0.12717721598056536</v>
      </c>
    </row>
    <row r="53" spans="1:106" x14ac:dyDescent="0.3">
      <c r="A53" s="1">
        <v>2041</v>
      </c>
      <c r="B53" s="15">
        <f t="shared" si="95"/>
        <v>93594500</v>
      </c>
      <c r="C53" s="15">
        <f t="shared" ref="C53:C62" si="141">C52*(100%+$CU$58)</f>
        <v>9440400</v>
      </c>
      <c r="D53" s="15">
        <f t="shared" ref="D53:D62" si="142">D52*(100%+$CU$58)</f>
        <v>4604500</v>
      </c>
      <c r="E53" s="2">
        <f t="shared" si="96"/>
        <v>31262992.800000001</v>
      </c>
      <c r="F53" s="11">
        <f t="shared" si="13"/>
        <v>0.39300000000000002</v>
      </c>
      <c r="J53" s="2">
        <f t="shared" si="97"/>
        <v>14707399.999999998</v>
      </c>
      <c r="K53" s="12">
        <f t="shared" si="98"/>
        <v>0.18488339350543559</v>
      </c>
      <c r="P53" s="15">
        <f t="shared" ref="P53:P62" si="143">P52*(100%+$DA$70)</f>
        <v>79549600</v>
      </c>
      <c r="Q53" s="15">
        <f t="shared" si="70"/>
        <v>29965395140.293148</v>
      </c>
      <c r="R53" s="15">
        <f t="shared" si="81"/>
        <v>295838095161.59534</v>
      </c>
      <c r="S53" s="34">
        <f t="shared" ref="S53:S62" si="144">S52+$DA$65</f>
        <v>320.16192340675093</v>
      </c>
      <c r="T53" s="15">
        <f t="shared" ref="T53:T62" si="145">T52*(100%+$CU$53)</f>
        <v>31337.453408922858</v>
      </c>
      <c r="U53" s="34">
        <f t="shared" si="71"/>
        <v>376.68819378467208</v>
      </c>
      <c r="V53" s="15">
        <f t="shared" si="72"/>
        <v>1576.4101565726564</v>
      </c>
      <c r="W53" s="14">
        <f t="shared" ref="W53:W62" si="146">W52*(100%+$CU$40)</f>
        <v>59</v>
      </c>
      <c r="X53" s="15">
        <f t="shared" ref="X53:X62" si="147">X52*(100%+$CU$42)</f>
        <v>1226.4101565726564</v>
      </c>
      <c r="Y53" s="35">
        <f t="shared" ref="Y53:Y62" si="148">Y52*(100%+$CU$41)</f>
        <v>64</v>
      </c>
      <c r="Z53" s="35">
        <f t="shared" ref="Z53:Z62" si="149">Z52*(100%+$CU$41)</f>
        <v>227</v>
      </c>
      <c r="AA53" s="33">
        <f t="shared" si="21"/>
        <v>0.35592006972442436</v>
      </c>
      <c r="AB53" s="54">
        <f t="shared" si="82"/>
        <v>44.139484384034382</v>
      </c>
      <c r="AC53" s="15">
        <f t="shared" si="73"/>
        <v>4584.3356867315379</v>
      </c>
      <c r="AD53" s="14">
        <f t="shared" ref="AD53:AD62" si="150">AD52*(100%+$DA$50)</f>
        <v>152.32959480410801</v>
      </c>
      <c r="AE53" s="35">
        <f t="shared" ref="AE53:AE62" si="151">AE52*(100%+$DA$54)</f>
        <v>196.87041199829162</v>
      </c>
      <c r="AF53" s="35">
        <f t="shared" ref="AF53:AF62" si="152">AF52*(100%+$DA$49)</f>
        <v>2672.4490316510169</v>
      </c>
      <c r="AG53" s="35">
        <f t="shared" ref="AG53:AG62" si="153">AG52*(100%+$DA$51)</f>
        <v>73.937756542344786</v>
      </c>
      <c r="AH53" s="35">
        <f t="shared" ref="AH53:AH62" si="154">AH52*(100%+$DA$51)</f>
        <v>206.66939178101197</v>
      </c>
      <c r="AI53" s="35">
        <f t="shared" ref="AI53:AI62" si="155">AI52*(100%+$DA$52)</f>
        <v>420.46531431309336</v>
      </c>
      <c r="AJ53" s="35">
        <f t="shared" ref="AJ53:AJ62" si="156">AJ52*(100%+$DA$52)</f>
        <v>272.5898012284037</v>
      </c>
      <c r="AK53" s="35">
        <f t="shared" ref="AK53:AK62" si="157">AK52*(100%+$DA$53)</f>
        <v>589.02438441326819</v>
      </c>
      <c r="AL53" s="54">
        <f t="shared" si="83"/>
        <v>128.36139922848307</v>
      </c>
      <c r="AM53" s="16">
        <f t="shared" si="22"/>
        <v>0.23419952836079386</v>
      </c>
      <c r="AN53" s="16">
        <f t="shared" si="23"/>
        <v>0.109724726107176</v>
      </c>
      <c r="AO53" s="15">
        <f t="shared" si="74"/>
        <v>6160.7458433041938</v>
      </c>
      <c r="AP53" s="15">
        <f t="shared" si="75"/>
        <v>1009.4682512337066</v>
      </c>
      <c r="AQ53" s="15">
        <f t="shared" ref="AQ53:AQ62" si="158">AQ52*(100%+$CU$45)</f>
        <v>998.46825123370661</v>
      </c>
      <c r="AR53" s="35">
        <f t="shared" ref="AR53:AR62" si="159">AR52*(100%+$CU$44)</f>
        <v>9</v>
      </c>
      <c r="AS53" s="14">
        <f t="shared" ref="AS53:AS62" si="160">AS52*(100%+$CU$43)</f>
        <v>2</v>
      </c>
      <c r="AT53" s="47">
        <f t="shared" si="84"/>
        <v>28.265111034543782</v>
      </c>
      <c r="AU53" s="14">
        <f t="shared" si="61"/>
        <v>135</v>
      </c>
      <c r="AV53" s="14">
        <f t="shared" ref="AV53:AV62" si="161">AV52*(100%+$DA$58)</f>
        <v>20</v>
      </c>
      <c r="AW53" s="14">
        <f t="shared" ref="AW53:AW62" si="162">AW52*(100%+$DA$58)</f>
        <v>10</v>
      </c>
      <c r="AX53" s="14">
        <f t="shared" ref="AX53:AX62" si="163">AX52*(100%+$DA$59)</f>
        <v>5</v>
      </c>
      <c r="AY53" s="14">
        <f t="shared" ref="AY53:AY62" si="164">AY52*(100%+$DA$56)</f>
        <v>7</v>
      </c>
      <c r="AZ53" s="14">
        <f t="shared" ref="AZ53:AZ62" si="165">AZ52*(100%+$DA$57)</f>
        <v>13</v>
      </c>
      <c r="BA53" s="14">
        <f t="shared" ref="BA53:BA62" si="166">BA52*(100%+$DA$57)</f>
        <v>10</v>
      </c>
      <c r="BB53" s="14">
        <f t="shared" ref="BB53:BB62" si="167">BB52*(100%+$DA$55)</f>
        <v>70</v>
      </c>
      <c r="BC53" s="47">
        <f t="shared" si="85"/>
        <v>3.7800000000000002</v>
      </c>
      <c r="BD53" s="14">
        <f t="shared" si="76"/>
        <v>20.399999999999999</v>
      </c>
      <c r="BE53" s="14">
        <f t="shared" ref="BE53:BE62" si="168">BE52*(100%+$CU$48)</f>
        <v>11.7</v>
      </c>
      <c r="BF53" s="14">
        <f t="shared" ref="BF53:BF62" si="169">BF52*(100%+$CU$47)</f>
        <v>8.6999999999999993</v>
      </c>
      <c r="BG53" s="1" t="s">
        <v>48</v>
      </c>
      <c r="BH53" s="47">
        <f t="shared" si="86"/>
        <v>5.4059999999999997</v>
      </c>
      <c r="BI53" s="14">
        <f t="shared" si="77"/>
        <v>31.5</v>
      </c>
      <c r="BJ53" s="14">
        <f t="shared" ref="BJ53:BJ62" si="170">BJ52*(100%+$DA$60)</f>
        <v>21.2</v>
      </c>
      <c r="BK53" s="14">
        <f t="shared" ref="BK53:BK62" si="171">BK52*(100%+$DA$60)</f>
        <v>10.3</v>
      </c>
      <c r="BL53" s="2">
        <f t="shared" si="87"/>
        <v>2585.8784078063632</v>
      </c>
      <c r="BM53" s="2">
        <f t="shared" si="88"/>
        <v>4719.3356867315379</v>
      </c>
      <c r="BN53" s="9">
        <f t="shared" si="89"/>
        <v>77.810595418578174</v>
      </c>
      <c r="BO53" s="9">
        <f t="shared" si="90"/>
        <v>140.48889922848306</v>
      </c>
      <c r="BP53" s="16">
        <f t="shared" si="91"/>
        <v>0.57985363507023713</v>
      </c>
      <c r="BQ53" s="17">
        <f t="shared" si="92"/>
        <v>10.336077183932249</v>
      </c>
      <c r="BR53" s="5">
        <f t="shared" si="25"/>
        <v>-32.919861494971769</v>
      </c>
      <c r="BS53" s="5">
        <f t="shared" si="26"/>
        <v>0.37800000000000011</v>
      </c>
      <c r="BT53">
        <f t="shared" si="93"/>
        <v>8.3475000000000001</v>
      </c>
      <c r="BU53" s="5">
        <f t="shared" si="34"/>
        <v>-24.194361494971769</v>
      </c>
      <c r="BV53" s="5">
        <f t="shared" si="27"/>
        <v>-5.7991357403242603</v>
      </c>
      <c r="BW53" s="5">
        <f t="shared" si="28"/>
        <v>-23.191425093516642</v>
      </c>
      <c r="BX53">
        <f t="shared" si="94"/>
        <v>5.4059999999999997</v>
      </c>
      <c r="BY53" s="5">
        <f t="shared" si="35"/>
        <v>-23.584560833840904</v>
      </c>
      <c r="BZ53" s="5">
        <f t="shared" si="36"/>
        <v>-47.778922328812669</v>
      </c>
      <c r="CA53" s="9">
        <f>CA52*(1+$DA$75)</f>
        <v>86.844437431206515</v>
      </c>
      <c r="CB53" s="9">
        <f t="shared" si="37"/>
        <v>6.3893361910699449</v>
      </c>
      <c r="CC53" s="16">
        <f>CC52*(1+$CU$63)</f>
        <v>20.162345963157314</v>
      </c>
      <c r="CD53" s="16">
        <f t="shared" si="38"/>
        <v>0.15025215441917927</v>
      </c>
      <c r="CE53" s="9">
        <f t="shared" si="39"/>
        <v>227.33333665968956</v>
      </c>
      <c r="CF53" s="9">
        <f t="shared" si="42"/>
        <v>7967.9154389044525</v>
      </c>
      <c r="CG53" s="9">
        <f t="shared" si="29"/>
        <v>16.725413375002194</v>
      </c>
      <c r="CH53" s="9">
        <f t="shared" si="30"/>
        <v>62.650075936234742</v>
      </c>
      <c r="CI53" s="9">
        <f t="shared" si="43"/>
        <v>4412.4939588152056</v>
      </c>
      <c r="CJ53" s="9">
        <f t="shared" si="40"/>
        <v>97.972941381735495</v>
      </c>
      <c r="CK53" s="9">
        <f t="shared" si="46"/>
        <v>3471.2976155082765</v>
      </c>
      <c r="CL53" s="9">
        <f t="shared" si="31"/>
        <v>0.73010578948941651</v>
      </c>
      <c r="CM53" s="9">
        <f t="shared" si="32"/>
        <v>-3.4222148706835895</v>
      </c>
      <c r="CN53" s="9">
        <f t="shared" si="47"/>
        <v>2764.4364130994923</v>
      </c>
      <c r="CO53" s="9">
        <f t="shared" si="33"/>
        <v>59.227861065551153</v>
      </c>
      <c r="CP53" s="9">
        <f t="shared" si="44"/>
        <v>7176.9303719146974</v>
      </c>
      <c r="CR53" s="18" t="s">
        <v>84</v>
      </c>
      <c r="CS53" s="19" t="s">
        <v>85</v>
      </c>
      <c r="CT53" s="19"/>
      <c r="CU53" s="20">
        <v>1.2999999999999999E-2</v>
      </c>
      <c r="CV53" s="28">
        <f>(T62-T53)/T53</f>
        <v>0.1232721938766352</v>
      </c>
      <c r="CX53" s="18" t="s">
        <v>84</v>
      </c>
      <c r="CY53" s="19" t="s">
        <v>98</v>
      </c>
      <c r="CZ53" s="19" t="s">
        <v>77</v>
      </c>
      <c r="DA53" s="20">
        <v>-1.4999999999999999E-2</v>
      </c>
      <c r="DB53" s="40">
        <f>(AK62-AK53)/AK53</f>
        <v>-0.1271772159805655</v>
      </c>
    </row>
    <row r="54" spans="1:106" x14ac:dyDescent="0.3">
      <c r="A54" s="1">
        <v>2042</v>
      </c>
      <c r="B54" s="15">
        <f t="shared" si="95"/>
        <v>93594500</v>
      </c>
      <c r="C54" s="15">
        <f t="shared" si="141"/>
        <v>9440400</v>
      </c>
      <c r="D54" s="15">
        <f t="shared" si="142"/>
        <v>4604500</v>
      </c>
      <c r="E54" s="2">
        <f t="shared" si="96"/>
        <v>31262992.800000001</v>
      </c>
      <c r="F54" s="11">
        <f t="shared" si="13"/>
        <v>0.39300000000000002</v>
      </c>
      <c r="J54" s="2">
        <f t="shared" si="97"/>
        <v>14707399.999999998</v>
      </c>
      <c r="K54" s="12">
        <f t="shared" si="98"/>
        <v>0.18488339350543559</v>
      </c>
      <c r="P54" s="15">
        <f t="shared" si="143"/>
        <v>79549600</v>
      </c>
      <c r="Q54" s="15">
        <f t="shared" si="70"/>
        <v>30105786890.293148</v>
      </c>
      <c r="R54" s="15">
        <f t="shared" si="81"/>
        <v>299683990398.69604</v>
      </c>
      <c r="S54" s="34">
        <f t="shared" si="144"/>
        <v>321.66192340675093</v>
      </c>
      <c r="T54" s="15">
        <f t="shared" si="145"/>
        <v>31744.840303238852</v>
      </c>
      <c r="U54" s="34">
        <f t="shared" si="71"/>
        <v>378.45302666880974</v>
      </c>
      <c r="V54" s="15">
        <f t="shared" si="72"/>
        <v>1558.0140042240666</v>
      </c>
      <c r="W54" s="14">
        <f t="shared" si="146"/>
        <v>59</v>
      </c>
      <c r="X54" s="15">
        <f t="shared" si="147"/>
        <v>1208.0140042240666</v>
      </c>
      <c r="Y54" s="35">
        <f t="shared" si="148"/>
        <v>64</v>
      </c>
      <c r="Z54" s="35">
        <f t="shared" si="149"/>
        <v>227</v>
      </c>
      <c r="AA54" s="33">
        <f t="shared" si="21"/>
        <v>0.3505812686785581</v>
      </c>
      <c r="AB54" s="54">
        <f t="shared" si="82"/>
        <v>43.624392118273867</v>
      </c>
      <c r="AC54" s="15">
        <f t="shared" si="73"/>
        <v>4515.5706514305657</v>
      </c>
      <c r="AD54" s="14">
        <f t="shared" si="150"/>
        <v>150.0446508820464</v>
      </c>
      <c r="AE54" s="35">
        <f t="shared" si="151"/>
        <v>193.91735581831725</v>
      </c>
      <c r="AF54" s="35">
        <f t="shared" si="152"/>
        <v>2632.3622961762517</v>
      </c>
      <c r="AG54" s="35">
        <f t="shared" si="153"/>
        <v>72.828690194209614</v>
      </c>
      <c r="AH54" s="35">
        <f t="shared" si="154"/>
        <v>203.56935090429678</v>
      </c>
      <c r="AI54" s="35">
        <f t="shared" si="155"/>
        <v>414.15833459839695</v>
      </c>
      <c r="AJ54" s="35">
        <f t="shared" si="156"/>
        <v>268.50095420997764</v>
      </c>
      <c r="AK54" s="35">
        <f t="shared" si="157"/>
        <v>580.18901864706913</v>
      </c>
      <c r="AL54" s="54">
        <f t="shared" si="83"/>
        <v>126.43597824005585</v>
      </c>
      <c r="AM54" s="16">
        <f t="shared" si="22"/>
        <v>0.23068653543538203</v>
      </c>
      <c r="AN54" s="16">
        <f t="shared" si="23"/>
        <v>0.10807885521556834</v>
      </c>
      <c r="AO54" s="15">
        <f t="shared" si="74"/>
        <v>6073.5846556546321</v>
      </c>
      <c r="AP54" s="15">
        <f t="shared" si="75"/>
        <v>994.49122746520095</v>
      </c>
      <c r="AQ54" s="15">
        <f t="shared" si="158"/>
        <v>983.49122746520095</v>
      </c>
      <c r="AR54" s="35">
        <f t="shared" si="159"/>
        <v>9</v>
      </c>
      <c r="AS54" s="14">
        <f t="shared" si="160"/>
        <v>2</v>
      </c>
      <c r="AT54" s="47">
        <f t="shared" si="84"/>
        <v>27.845754369025627</v>
      </c>
      <c r="AU54" s="14">
        <f t="shared" si="61"/>
        <v>135</v>
      </c>
      <c r="AV54" s="14">
        <f t="shared" si="161"/>
        <v>20</v>
      </c>
      <c r="AW54" s="14">
        <f t="shared" si="162"/>
        <v>10</v>
      </c>
      <c r="AX54" s="14">
        <f t="shared" si="163"/>
        <v>5</v>
      </c>
      <c r="AY54" s="14">
        <f t="shared" si="164"/>
        <v>7</v>
      </c>
      <c r="AZ54" s="14">
        <f t="shared" si="165"/>
        <v>13</v>
      </c>
      <c r="BA54" s="14">
        <f t="shared" si="166"/>
        <v>10</v>
      </c>
      <c r="BB54" s="14">
        <f t="shared" si="167"/>
        <v>70</v>
      </c>
      <c r="BC54" s="47">
        <f t="shared" si="85"/>
        <v>3.7800000000000002</v>
      </c>
      <c r="BD54" s="14">
        <f t="shared" si="76"/>
        <v>20.399999999999999</v>
      </c>
      <c r="BE54" s="14">
        <f t="shared" si="168"/>
        <v>11.7</v>
      </c>
      <c r="BF54" s="14">
        <f t="shared" si="169"/>
        <v>8.6999999999999993</v>
      </c>
      <c r="BG54" s="1" t="s">
        <v>48</v>
      </c>
      <c r="BH54" s="47">
        <f t="shared" si="86"/>
        <v>5.4059999999999997</v>
      </c>
      <c r="BI54" s="14">
        <f t="shared" si="77"/>
        <v>31.5</v>
      </c>
      <c r="BJ54" s="14">
        <f t="shared" si="170"/>
        <v>21.2</v>
      </c>
      <c r="BK54" s="14">
        <f t="shared" si="171"/>
        <v>10.3</v>
      </c>
      <c r="BL54" s="2">
        <f t="shared" si="87"/>
        <v>2552.5052316892675</v>
      </c>
      <c r="BM54" s="2">
        <f t="shared" si="88"/>
        <v>4650.5706514305657</v>
      </c>
      <c r="BN54" s="9">
        <f t="shared" si="89"/>
        <v>76.876146487299494</v>
      </c>
      <c r="BO54" s="9">
        <f t="shared" si="90"/>
        <v>138.56347824005584</v>
      </c>
      <c r="BP54" s="16">
        <f t="shared" si="91"/>
        <v>0.56553801837513051</v>
      </c>
      <c r="BQ54" s="17">
        <f t="shared" si="92"/>
        <v>10.146880282876319</v>
      </c>
      <c r="BR54" s="5">
        <f t="shared" si="25"/>
        <v>-41.642018572547045</v>
      </c>
      <c r="BS54" s="5">
        <f t="shared" si="26"/>
        <v>0.37800000000000011</v>
      </c>
      <c r="BT54">
        <f t="shared" si="93"/>
        <v>8.3475000000000001</v>
      </c>
      <c r="BU54" s="5">
        <f t="shared" si="34"/>
        <v>-32.916518572547048</v>
      </c>
      <c r="BV54" s="5">
        <f t="shared" si="27"/>
        <v>-8.1325037042194026</v>
      </c>
      <c r="BW54" s="5">
        <f t="shared" si="28"/>
        <v>-24.491417275993896</v>
      </c>
      <c r="BX54">
        <f t="shared" si="94"/>
        <v>5.4059999999999997</v>
      </c>
      <c r="BY54" s="5">
        <f t="shared" si="35"/>
        <v>-27.2179209802133</v>
      </c>
      <c r="BZ54" s="5">
        <f t="shared" si="36"/>
        <v>-60.134439552760348</v>
      </c>
      <c r="CA54" s="9">
        <f t="shared" ref="CA54:CA62" si="172">CA53*(1+$DA$75)</f>
        <v>85.10754868258239</v>
      </c>
      <c r="CB54" s="9">
        <f t="shared" si="37"/>
        <v>6.2323501013385334</v>
      </c>
      <c r="CC54" s="16">
        <f t="shared" ref="CC54:CC62" si="173">CC53*(1+$CU$63)</f>
        <v>19.759099043894167</v>
      </c>
      <c r="CD54" s="16">
        <f t="shared" si="38"/>
        <v>0.14535746429496121</v>
      </c>
      <c r="CE54" s="9">
        <f t="shared" si="39"/>
        <v>223.67102692263825</v>
      </c>
      <c r="CF54" s="9">
        <f t="shared" si="42"/>
        <v>8191.5864658270912</v>
      </c>
      <c r="CG54" s="9">
        <f t="shared" si="29"/>
        <v>16.379230384214853</v>
      </c>
      <c r="CH54" s="9">
        <f t="shared" si="30"/>
        <v>52.191030110035342</v>
      </c>
      <c r="CI54" s="9">
        <f t="shared" si="43"/>
        <v>4464.6849889252408</v>
      </c>
      <c r="CJ54" s="9">
        <f t="shared" si="40"/>
        <v>96.635245531193661</v>
      </c>
      <c r="CK54" s="9">
        <f t="shared" si="46"/>
        <v>3567.93286103947</v>
      </c>
      <c r="CL54" s="9">
        <f t="shared" si="31"/>
        <v>0.71089548267009173</v>
      </c>
      <c r="CM54" s="9">
        <f t="shared" si="32"/>
        <v>-7.4588219363191328</v>
      </c>
      <c r="CN54" s="9">
        <f t="shared" si="47"/>
        <v>2756.9775911631732</v>
      </c>
      <c r="CO54" s="9">
        <f t="shared" si="33"/>
        <v>44.732208173716209</v>
      </c>
      <c r="CP54" s="9">
        <f t="shared" si="44"/>
        <v>7221.662580088414</v>
      </c>
      <c r="CR54" s="24" t="s">
        <v>73</v>
      </c>
      <c r="CS54" s="25" t="s">
        <v>72</v>
      </c>
      <c r="CT54" s="25" t="s">
        <v>76</v>
      </c>
      <c r="CU54" s="25" t="s">
        <v>88</v>
      </c>
      <c r="CV54" s="26" t="s">
        <v>87</v>
      </c>
      <c r="CX54" s="18" t="s">
        <v>84</v>
      </c>
      <c r="CY54" s="19" t="s">
        <v>18</v>
      </c>
      <c r="CZ54" s="19" t="s">
        <v>77</v>
      </c>
      <c r="DA54" s="20">
        <v>-1.4999999999999999E-2</v>
      </c>
      <c r="DB54" s="40">
        <f>(AE62-AE53)/AE53</f>
        <v>-0.12717721598056569</v>
      </c>
    </row>
    <row r="55" spans="1:106" x14ac:dyDescent="0.3">
      <c r="A55" s="1">
        <v>2043</v>
      </c>
      <c r="B55" s="15">
        <f t="shared" si="95"/>
        <v>93594500</v>
      </c>
      <c r="C55" s="15">
        <f t="shared" si="141"/>
        <v>9440400</v>
      </c>
      <c r="D55" s="15">
        <f t="shared" si="142"/>
        <v>4604500</v>
      </c>
      <c r="E55" s="2">
        <f t="shared" si="96"/>
        <v>31262992.800000001</v>
      </c>
      <c r="F55" s="11">
        <f t="shared" si="13"/>
        <v>0.39300000000000002</v>
      </c>
      <c r="J55" s="2">
        <f t="shared" si="97"/>
        <v>14707399.999999998</v>
      </c>
      <c r="K55" s="12">
        <f t="shared" si="98"/>
        <v>0.18488339350543559</v>
      </c>
      <c r="P55" s="15">
        <f t="shared" si="143"/>
        <v>79549600</v>
      </c>
      <c r="Q55" s="15">
        <f t="shared" si="70"/>
        <v>30246178640.293148</v>
      </c>
      <c r="R55" s="15">
        <f t="shared" si="81"/>
        <v>303579882273.87909</v>
      </c>
      <c r="S55" s="34">
        <f t="shared" si="144"/>
        <v>323.16192340675093</v>
      </c>
      <c r="T55" s="15">
        <f t="shared" si="145"/>
        <v>32157.523227180955</v>
      </c>
      <c r="U55" s="34">
        <f t="shared" si="71"/>
        <v>380.21785955294746</v>
      </c>
      <c r="V55" s="15">
        <f t="shared" si="72"/>
        <v>1539.8937941607055</v>
      </c>
      <c r="W55" s="14">
        <f t="shared" si="146"/>
        <v>59</v>
      </c>
      <c r="X55" s="15">
        <f t="shared" si="147"/>
        <v>1189.8937941607055</v>
      </c>
      <c r="Y55" s="35">
        <f t="shared" si="148"/>
        <v>64</v>
      </c>
      <c r="Z55" s="35">
        <f t="shared" si="149"/>
        <v>227</v>
      </c>
      <c r="AA55" s="33">
        <f t="shared" si="21"/>
        <v>0.34532254964837961</v>
      </c>
      <c r="AB55" s="54">
        <f t="shared" si="82"/>
        <v>43.117026236499754</v>
      </c>
      <c r="AC55" s="15">
        <f t="shared" si="73"/>
        <v>4447.8370916591066</v>
      </c>
      <c r="AD55" s="14">
        <f t="shared" si="150"/>
        <v>147.79398111881571</v>
      </c>
      <c r="AE55" s="35">
        <f t="shared" si="151"/>
        <v>191.00859548104248</v>
      </c>
      <c r="AF55" s="35">
        <f t="shared" si="152"/>
        <v>2592.8768617336077</v>
      </c>
      <c r="AG55" s="35">
        <f t="shared" si="153"/>
        <v>71.736259841296473</v>
      </c>
      <c r="AH55" s="35">
        <f t="shared" si="154"/>
        <v>200.51581064073233</v>
      </c>
      <c r="AI55" s="35">
        <f t="shared" si="155"/>
        <v>407.94595957942101</v>
      </c>
      <c r="AJ55" s="35">
        <f t="shared" si="156"/>
        <v>264.47343989682798</v>
      </c>
      <c r="AK55" s="35">
        <f t="shared" si="157"/>
        <v>571.48618336736308</v>
      </c>
      <c r="AL55" s="54">
        <f t="shared" si="83"/>
        <v>124.53943856645499</v>
      </c>
      <c r="AM55" s="16">
        <f t="shared" si="22"/>
        <v>0.22722623740385126</v>
      </c>
      <c r="AN55" s="16">
        <f t="shared" si="23"/>
        <v>0.10645767238733482</v>
      </c>
      <c r="AO55" s="15">
        <f t="shared" si="74"/>
        <v>5987.7308858198121</v>
      </c>
      <c r="AP55" s="15">
        <f t="shared" si="75"/>
        <v>979.73885905322288</v>
      </c>
      <c r="AQ55" s="15">
        <f t="shared" si="158"/>
        <v>968.73885905322288</v>
      </c>
      <c r="AR55" s="35">
        <f t="shared" si="159"/>
        <v>9</v>
      </c>
      <c r="AS55" s="14">
        <f t="shared" si="160"/>
        <v>2</v>
      </c>
      <c r="AT55" s="47">
        <f t="shared" si="84"/>
        <v>27.432688053490242</v>
      </c>
      <c r="AU55" s="14">
        <f t="shared" si="61"/>
        <v>135</v>
      </c>
      <c r="AV55" s="14">
        <f t="shared" si="161"/>
        <v>20</v>
      </c>
      <c r="AW55" s="14">
        <f t="shared" si="162"/>
        <v>10</v>
      </c>
      <c r="AX55" s="14">
        <f t="shared" si="163"/>
        <v>5</v>
      </c>
      <c r="AY55" s="14">
        <f t="shared" si="164"/>
        <v>7</v>
      </c>
      <c r="AZ55" s="14">
        <f t="shared" si="165"/>
        <v>13</v>
      </c>
      <c r="BA55" s="14">
        <f t="shared" si="166"/>
        <v>10</v>
      </c>
      <c r="BB55" s="14">
        <f t="shared" si="167"/>
        <v>70</v>
      </c>
      <c r="BC55" s="47">
        <f t="shared" si="85"/>
        <v>3.7800000000000002</v>
      </c>
      <c r="BD55" s="14">
        <f t="shared" si="76"/>
        <v>20.399999999999999</v>
      </c>
      <c r="BE55" s="14">
        <f t="shared" si="168"/>
        <v>11.7</v>
      </c>
      <c r="BF55" s="14">
        <f t="shared" si="169"/>
        <v>8.6999999999999993</v>
      </c>
      <c r="BG55" s="1" t="s">
        <v>48</v>
      </c>
      <c r="BH55" s="47">
        <f t="shared" si="86"/>
        <v>5.4059999999999997</v>
      </c>
      <c r="BI55" s="14">
        <f t="shared" si="77"/>
        <v>31.5</v>
      </c>
      <c r="BJ55" s="14">
        <f t="shared" si="170"/>
        <v>21.2</v>
      </c>
      <c r="BK55" s="14">
        <f t="shared" si="171"/>
        <v>10.3</v>
      </c>
      <c r="BL55" s="2">
        <f t="shared" si="87"/>
        <v>2519.6326532139283</v>
      </c>
      <c r="BM55" s="2">
        <f t="shared" si="88"/>
        <v>4582.8370916591066</v>
      </c>
      <c r="BN55" s="9">
        <f t="shared" si="89"/>
        <v>75.955714289989999</v>
      </c>
      <c r="BO55" s="9">
        <f t="shared" si="90"/>
        <v>136.66693856645497</v>
      </c>
      <c r="BP55" s="16">
        <f t="shared" si="91"/>
        <v>0.55159612548675763</v>
      </c>
      <c r="BQ55" s="17">
        <f t="shared" si="92"/>
        <v>9.9615448842517882</v>
      </c>
      <c r="BR55" s="5">
        <f t="shared" si="25"/>
        <v>-50.233343293959024</v>
      </c>
      <c r="BS55" s="5">
        <f t="shared" si="26"/>
        <v>0.37800000000000011</v>
      </c>
      <c r="BT55">
        <f t="shared" si="93"/>
        <v>8.3475000000000001</v>
      </c>
      <c r="BU55" s="5">
        <f t="shared" si="34"/>
        <v>-41.507843293959027</v>
      </c>
      <c r="BV55" s="5">
        <f t="shared" si="27"/>
        <v>-10.430871148656109</v>
      </c>
      <c r="BW55" s="5">
        <f t="shared" si="28"/>
        <v>-25.765312947098479</v>
      </c>
      <c r="BX55">
        <f t="shared" si="94"/>
        <v>5.4059999999999997</v>
      </c>
      <c r="BY55" s="5">
        <f t="shared" si="35"/>
        <v>-30.79018409575459</v>
      </c>
      <c r="BZ55" s="5">
        <f t="shared" si="36"/>
        <v>-72.29802738971361</v>
      </c>
      <c r="CA55" s="9">
        <f t="shared" si="172"/>
        <v>83.405397708930735</v>
      </c>
      <c r="CB55" s="9">
        <f t="shared" si="37"/>
        <v>6.0793533650596965</v>
      </c>
      <c r="CC55" s="16">
        <f t="shared" si="173"/>
        <v>19.363917063016284</v>
      </c>
      <c r="CD55" s="16">
        <f t="shared" si="38"/>
        <v>0.14062222607015001</v>
      </c>
      <c r="CE55" s="9">
        <f t="shared" si="39"/>
        <v>220.07233627538571</v>
      </c>
      <c r="CF55" s="9">
        <f t="shared" si="42"/>
        <v>8411.6588021024763</v>
      </c>
      <c r="CG55" s="9">
        <f t="shared" si="29"/>
        <v>16.040898249311486</v>
      </c>
      <c r="CH55" s="9">
        <f t="shared" si="30"/>
        <v>41.897554414971708</v>
      </c>
      <c r="CI55" s="9">
        <f t="shared" si="43"/>
        <v>4506.5825433402124</v>
      </c>
      <c r="CJ55" s="9">
        <f t="shared" si="40"/>
        <v>95.319631353006287</v>
      </c>
      <c r="CK55" s="9">
        <f t="shared" si="46"/>
        <v>3663.2524923924761</v>
      </c>
      <c r="CL55" s="9">
        <f t="shared" si="31"/>
        <v>0.6922183515569077</v>
      </c>
      <c r="CM55" s="9">
        <f t="shared" si="32"/>
        <v>-11.426267032738306</v>
      </c>
      <c r="CN55" s="9">
        <f t="shared" si="47"/>
        <v>2745.5513241304348</v>
      </c>
      <c r="CO55" s="9">
        <f t="shared" si="33"/>
        <v>30.471287382233402</v>
      </c>
      <c r="CP55" s="9">
        <f t="shared" si="44"/>
        <v>7252.1338674706476</v>
      </c>
      <c r="CR55" s="18" t="s">
        <v>74</v>
      </c>
      <c r="CS55" s="19" t="s">
        <v>86</v>
      </c>
      <c r="CT55" s="19"/>
      <c r="CU55" s="20">
        <v>0</v>
      </c>
      <c r="CV55" s="28">
        <f>((C38+D38)-(D32+C32))/(D32+C32)</f>
        <v>1.3046639955513098E-3</v>
      </c>
      <c r="CX55" s="18" t="s">
        <v>84</v>
      </c>
      <c r="CY55" s="19" t="s">
        <v>95</v>
      </c>
      <c r="CZ55" s="19" t="s">
        <v>80</v>
      </c>
      <c r="DA55" s="20">
        <v>0</v>
      </c>
      <c r="DB55" s="40">
        <f>(BB62-BB53)/BB53</f>
        <v>0</v>
      </c>
    </row>
    <row r="56" spans="1:106" x14ac:dyDescent="0.3">
      <c r="A56" s="1">
        <v>2044</v>
      </c>
      <c r="B56" s="15">
        <f t="shared" si="95"/>
        <v>93594500</v>
      </c>
      <c r="C56" s="15">
        <f t="shared" si="141"/>
        <v>9440400</v>
      </c>
      <c r="D56" s="15">
        <f t="shared" si="142"/>
        <v>4604500</v>
      </c>
      <c r="E56" s="2">
        <f t="shared" si="96"/>
        <v>31262992.800000001</v>
      </c>
      <c r="F56" s="11">
        <f t="shared" si="13"/>
        <v>0.39300000000000002</v>
      </c>
      <c r="J56" s="2">
        <f t="shared" si="97"/>
        <v>14707399.999999998</v>
      </c>
      <c r="K56" s="12">
        <f t="shared" si="98"/>
        <v>0.18488339350543559</v>
      </c>
      <c r="P56" s="15">
        <f t="shared" si="143"/>
        <v>79549600</v>
      </c>
      <c r="Q56" s="15">
        <f t="shared" si="70"/>
        <v>30386570390.293148</v>
      </c>
      <c r="R56" s="15">
        <f t="shared" si="81"/>
        <v>307526420743.43945</v>
      </c>
      <c r="S56" s="34">
        <f t="shared" si="144"/>
        <v>324.66192340675093</v>
      </c>
      <c r="T56" s="15">
        <f t="shared" si="145"/>
        <v>32575.571029134302</v>
      </c>
      <c r="U56" s="34">
        <f t="shared" si="71"/>
        <v>381.98269243708512</v>
      </c>
      <c r="V56" s="15">
        <f t="shared" si="72"/>
        <v>1522.0453872482949</v>
      </c>
      <c r="W56" s="14">
        <f t="shared" si="146"/>
        <v>59</v>
      </c>
      <c r="X56" s="15">
        <f t="shared" si="147"/>
        <v>1172.0453872482949</v>
      </c>
      <c r="Y56" s="35">
        <f t="shared" si="148"/>
        <v>64</v>
      </c>
      <c r="Z56" s="35">
        <f t="shared" si="149"/>
        <v>227</v>
      </c>
      <c r="AA56" s="33">
        <f t="shared" si="21"/>
        <v>0.34014271140365393</v>
      </c>
      <c r="AB56" s="54">
        <f t="shared" si="82"/>
        <v>42.617270842952259</v>
      </c>
      <c r="AC56" s="15">
        <f t="shared" si="73"/>
        <v>4381.1195352842205</v>
      </c>
      <c r="AD56" s="14">
        <f t="shared" si="150"/>
        <v>145.57707140203348</v>
      </c>
      <c r="AE56" s="35">
        <f t="shared" si="151"/>
        <v>188.14346654882684</v>
      </c>
      <c r="AF56" s="35">
        <f t="shared" si="152"/>
        <v>2553.9837088076038</v>
      </c>
      <c r="AG56" s="35">
        <f t="shared" si="153"/>
        <v>70.660215943677031</v>
      </c>
      <c r="AH56" s="35">
        <f t="shared" si="154"/>
        <v>197.50807348112133</v>
      </c>
      <c r="AI56" s="35">
        <f t="shared" si="155"/>
        <v>401.82677018572969</v>
      </c>
      <c r="AJ56" s="35">
        <f t="shared" si="156"/>
        <v>260.50633829837557</v>
      </c>
      <c r="AK56" s="35">
        <f t="shared" si="157"/>
        <v>562.91389061685265</v>
      </c>
      <c r="AL56" s="54">
        <f t="shared" si="83"/>
        <v>122.67134698795817</v>
      </c>
      <c r="AM56" s="16">
        <f t="shared" si="22"/>
        <v>0.22381784384279349</v>
      </c>
      <c r="AN56" s="16">
        <f t="shared" si="23"/>
        <v>0.10486080730152479</v>
      </c>
      <c r="AO56" s="15">
        <f t="shared" si="74"/>
        <v>5903.1649225325154</v>
      </c>
      <c r="AP56" s="15">
        <f t="shared" si="75"/>
        <v>965.20777616742453</v>
      </c>
      <c r="AQ56" s="15">
        <f t="shared" si="158"/>
        <v>954.20777616742453</v>
      </c>
      <c r="AR56" s="35">
        <f t="shared" si="159"/>
        <v>9</v>
      </c>
      <c r="AS56" s="14">
        <f t="shared" si="160"/>
        <v>2</v>
      </c>
      <c r="AT56" s="47">
        <f t="shared" si="84"/>
        <v>27.025817732687884</v>
      </c>
      <c r="AU56" s="14">
        <f t="shared" si="61"/>
        <v>135</v>
      </c>
      <c r="AV56" s="14">
        <f t="shared" si="161"/>
        <v>20</v>
      </c>
      <c r="AW56" s="14">
        <f t="shared" si="162"/>
        <v>10</v>
      </c>
      <c r="AX56" s="14">
        <f t="shared" si="163"/>
        <v>5</v>
      </c>
      <c r="AY56" s="14">
        <f t="shared" si="164"/>
        <v>7</v>
      </c>
      <c r="AZ56" s="14">
        <f t="shared" si="165"/>
        <v>13</v>
      </c>
      <c r="BA56" s="14">
        <f t="shared" si="166"/>
        <v>10</v>
      </c>
      <c r="BB56" s="14">
        <f t="shared" si="167"/>
        <v>70</v>
      </c>
      <c r="BC56" s="47">
        <f t="shared" si="85"/>
        <v>3.7800000000000002</v>
      </c>
      <c r="BD56" s="14">
        <f t="shared" si="76"/>
        <v>20.399999999999999</v>
      </c>
      <c r="BE56" s="14">
        <f t="shared" si="168"/>
        <v>11.7</v>
      </c>
      <c r="BF56" s="14">
        <f t="shared" si="169"/>
        <v>8.6999999999999993</v>
      </c>
      <c r="BG56" s="1" t="s">
        <v>48</v>
      </c>
      <c r="BH56" s="47">
        <f t="shared" si="86"/>
        <v>5.4059999999999997</v>
      </c>
      <c r="BI56" s="14">
        <f t="shared" si="77"/>
        <v>31.5</v>
      </c>
      <c r="BJ56" s="14">
        <f t="shared" si="170"/>
        <v>21.2</v>
      </c>
      <c r="BK56" s="14">
        <f t="shared" si="171"/>
        <v>10.3</v>
      </c>
      <c r="BL56" s="2">
        <f t="shared" si="87"/>
        <v>2487.2531634157194</v>
      </c>
      <c r="BM56" s="2">
        <f t="shared" si="88"/>
        <v>4516.1195352842205</v>
      </c>
      <c r="BN56" s="9">
        <f t="shared" si="89"/>
        <v>75.049088575640141</v>
      </c>
      <c r="BO56" s="9">
        <f t="shared" si="90"/>
        <v>134.7988469879582</v>
      </c>
      <c r="BP56" s="16">
        <f t="shared" si="91"/>
        <v>0.53801790836586993</v>
      </c>
      <c r="BQ56" s="17">
        <f t="shared" si="92"/>
        <v>9.7799860342753675</v>
      </c>
      <c r="BR56" s="5">
        <f t="shared" si="25"/>
        <v>-58.695798144549372</v>
      </c>
      <c r="BS56" s="5">
        <f t="shared" si="26"/>
        <v>0.37800000000000011</v>
      </c>
      <c r="BT56">
        <f t="shared" si="93"/>
        <v>8.3475000000000001</v>
      </c>
      <c r="BU56" s="5">
        <f t="shared" si="34"/>
        <v>-49.970298144549375</v>
      </c>
      <c r="BV56" s="5">
        <f t="shared" si="27"/>
        <v>-12.694763081426231</v>
      </c>
      <c r="BW56" s="5">
        <f t="shared" si="28"/>
        <v>-27.013529941015506</v>
      </c>
      <c r="BX56">
        <f t="shared" si="94"/>
        <v>5.4059999999999997</v>
      </c>
      <c r="BY56" s="5">
        <f t="shared" si="35"/>
        <v>-34.302293022441738</v>
      </c>
      <c r="BZ56" s="5">
        <f t="shared" si="36"/>
        <v>-84.272591166991106</v>
      </c>
      <c r="CA56" s="9">
        <f t="shared" si="172"/>
        <v>81.737289754752112</v>
      </c>
      <c r="CB56" s="9">
        <f t="shared" si="37"/>
        <v>5.9302402813015567</v>
      </c>
      <c r="CC56" s="16">
        <f t="shared" si="173"/>
        <v>18.976638721755958</v>
      </c>
      <c r="CD56" s="16">
        <f t="shared" si="38"/>
        <v>0.13604124535907905</v>
      </c>
      <c r="CE56" s="9">
        <f t="shared" si="39"/>
        <v>216.53613674271031</v>
      </c>
      <c r="CF56" s="9">
        <f t="shared" si="42"/>
        <v>8628.1949388451867</v>
      </c>
      <c r="CG56" s="9">
        <f t="shared" si="29"/>
        <v>15.710226315576923</v>
      </c>
      <c r="CH56" s="9">
        <f t="shared" si="30"/>
        <v>31.766991610202737</v>
      </c>
      <c r="CI56" s="9">
        <f t="shared" si="43"/>
        <v>4538.3495349504155</v>
      </c>
      <c r="CJ56" s="9">
        <f t="shared" si="40"/>
        <v>94.025727297396102</v>
      </c>
      <c r="CK56" s="9">
        <f t="shared" si="46"/>
        <v>3757.2782196898725</v>
      </c>
      <c r="CL56" s="9">
        <f t="shared" si="31"/>
        <v>0.67405915372494896</v>
      </c>
      <c r="CM56" s="9">
        <f t="shared" si="32"/>
        <v>-15.32565430068578</v>
      </c>
      <c r="CN56" s="9">
        <f t="shared" si="47"/>
        <v>2730.2256698297488</v>
      </c>
      <c r="CO56" s="9">
        <f t="shared" si="33"/>
        <v>16.441337309516957</v>
      </c>
      <c r="CP56" s="9">
        <f t="shared" si="44"/>
        <v>7268.5752047801643</v>
      </c>
      <c r="CR56" s="18" t="s">
        <v>82</v>
      </c>
      <c r="CS56" s="19" t="s">
        <v>86</v>
      </c>
      <c r="CT56" s="19"/>
      <c r="CU56" s="20">
        <v>0</v>
      </c>
      <c r="CV56" s="28">
        <f>((D42+C42)-(D38+C38))/(D38+C38)</f>
        <v>0</v>
      </c>
      <c r="CX56" s="18" t="s">
        <v>84</v>
      </c>
      <c r="CY56" s="19" t="s">
        <v>99</v>
      </c>
      <c r="CZ56" s="19" t="s">
        <v>80</v>
      </c>
      <c r="DA56" s="20">
        <v>0</v>
      </c>
      <c r="DB56" s="40">
        <f>(AY62-AY53)/AY53</f>
        <v>0</v>
      </c>
    </row>
    <row r="57" spans="1:106" x14ac:dyDescent="0.3">
      <c r="A57" s="1">
        <v>2045</v>
      </c>
      <c r="B57" s="15">
        <f t="shared" si="95"/>
        <v>93594500</v>
      </c>
      <c r="C57" s="15">
        <f t="shared" si="141"/>
        <v>9440400</v>
      </c>
      <c r="D57" s="15">
        <f t="shared" si="142"/>
        <v>4604500</v>
      </c>
      <c r="E57" s="2">
        <f t="shared" si="96"/>
        <v>31262992.800000001</v>
      </c>
      <c r="F57" s="11">
        <f t="shared" si="13"/>
        <v>0.39300000000000002</v>
      </c>
      <c r="J57" s="2">
        <f t="shared" si="97"/>
        <v>14707399.999999998</v>
      </c>
      <c r="K57" s="12">
        <f t="shared" si="98"/>
        <v>0.18488339350543559</v>
      </c>
      <c r="P57" s="15">
        <f t="shared" si="143"/>
        <v>79549600</v>
      </c>
      <c r="Q57" s="15">
        <f t="shared" si="70"/>
        <v>30526962140.293148</v>
      </c>
      <c r="R57" s="15">
        <f t="shared" si="81"/>
        <v>311524264213.10413</v>
      </c>
      <c r="S57" s="34">
        <f t="shared" si="144"/>
        <v>326.16192340675093</v>
      </c>
      <c r="T57" s="15">
        <f t="shared" si="145"/>
        <v>32999.053452513042</v>
      </c>
      <c r="U57" s="34">
        <f t="shared" si="71"/>
        <v>383.74752532122284</v>
      </c>
      <c r="V57" s="15">
        <f t="shared" si="72"/>
        <v>1504.4647064395704</v>
      </c>
      <c r="W57" s="14">
        <f t="shared" si="146"/>
        <v>59</v>
      </c>
      <c r="X57" s="15">
        <f t="shared" si="147"/>
        <v>1154.4647064395704</v>
      </c>
      <c r="Y57" s="35">
        <f t="shared" si="148"/>
        <v>64</v>
      </c>
      <c r="Z57" s="35">
        <f t="shared" si="149"/>
        <v>227</v>
      </c>
      <c r="AA57" s="33">
        <f t="shared" si="21"/>
        <v>0.33504057073259907</v>
      </c>
      <c r="AB57" s="54">
        <f t="shared" si="82"/>
        <v>42.125011780307972</v>
      </c>
      <c r="AC57" s="15">
        <f t="shared" si="73"/>
        <v>4315.402742254957</v>
      </c>
      <c r="AD57" s="14">
        <f t="shared" si="150"/>
        <v>143.39341533100298</v>
      </c>
      <c r="AE57" s="35">
        <f t="shared" si="151"/>
        <v>185.32131455059442</v>
      </c>
      <c r="AF57" s="35">
        <f t="shared" si="152"/>
        <v>2515.6739531754897</v>
      </c>
      <c r="AG57" s="35">
        <f t="shared" si="153"/>
        <v>69.600312704521869</v>
      </c>
      <c r="AH57" s="35">
        <f t="shared" si="154"/>
        <v>194.54545237890451</v>
      </c>
      <c r="AI57" s="35">
        <f t="shared" si="155"/>
        <v>395.79936863294375</v>
      </c>
      <c r="AJ57" s="35">
        <f t="shared" si="156"/>
        <v>256.59874322389993</v>
      </c>
      <c r="AK57" s="35">
        <f t="shared" si="157"/>
        <v>554.47018225759984</v>
      </c>
      <c r="AL57" s="54">
        <f t="shared" si="83"/>
        <v>120.83127678313879</v>
      </c>
      <c r="AM57" s="16">
        <f t="shared" si="22"/>
        <v>0.22046057618515161</v>
      </c>
      <c r="AN57" s="16">
        <f t="shared" si="23"/>
        <v>0.10328789519200192</v>
      </c>
      <c r="AO57" s="15">
        <f t="shared" si="74"/>
        <v>5819.8674486945274</v>
      </c>
      <c r="AP57" s="15">
        <f t="shared" si="75"/>
        <v>950.8946595249131</v>
      </c>
      <c r="AQ57" s="15">
        <f t="shared" si="158"/>
        <v>939.8946595249131</v>
      </c>
      <c r="AR57" s="35">
        <f t="shared" si="159"/>
        <v>9</v>
      </c>
      <c r="AS57" s="14">
        <f t="shared" si="160"/>
        <v>2</v>
      </c>
      <c r="AT57" s="47">
        <f t="shared" si="84"/>
        <v>26.625050466697569</v>
      </c>
      <c r="AU57" s="14">
        <f t="shared" si="61"/>
        <v>135</v>
      </c>
      <c r="AV57" s="14">
        <f t="shared" si="161"/>
        <v>20</v>
      </c>
      <c r="AW57" s="14">
        <f t="shared" si="162"/>
        <v>10</v>
      </c>
      <c r="AX57" s="14">
        <f t="shared" si="163"/>
        <v>5</v>
      </c>
      <c r="AY57" s="14">
        <f t="shared" si="164"/>
        <v>7</v>
      </c>
      <c r="AZ57" s="14">
        <f t="shared" si="165"/>
        <v>13</v>
      </c>
      <c r="BA57" s="14">
        <f t="shared" si="166"/>
        <v>10</v>
      </c>
      <c r="BB57" s="14">
        <f t="shared" si="167"/>
        <v>70</v>
      </c>
      <c r="BC57" s="47">
        <f t="shared" si="85"/>
        <v>3.7800000000000002</v>
      </c>
      <c r="BD57" s="14">
        <f t="shared" si="76"/>
        <v>20.399999999999999</v>
      </c>
      <c r="BE57" s="14">
        <f t="shared" si="168"/>
        <v>11.7</v>
      </c>
      <c r="BF57" s="14">
        <f t="shared" si="169"/>
        <v>8.6999999999999993</v>
      </c>
      <c r="BG57" s="1" t="s">
        <v>48</v>
      </c>
      <c r="BH57" s="47">
        <f t="shared" si="86"/>
        <v>5.4059999999999997</v>
      </c>
      <c r="BI57" s="14">
        <f t="shared" si="77"/>
        <v>31.5</v>
      </c>
      <c r="BJ57" s="14">
        <f t="shared" si="170"/>
        <v>21.2</v>
      </c>
      <c r="BK57" s="14">
        <f t="shared" si="171"/>
        <v>10.3</v>
      </c>
      <c r="BL57" s="2">
        <f t="shared" si="87"/>
        <v>2455.3593659644835</v>
      </c>
      <c r="BM57" s="2">
        <f t="shared" si="88"/>
        <v>4450.402742254957</v>
      </c>
      <c r="BN57" s="9">
        <f t="shared" si="89"/>
        <v>74.156062247005551</v>
      </c>
      <c r="BO57" s="9">
        <f t="shared" si="90"/>
        <v>132.9587767831388</v>
      </c>
      <c r="BP57" s="16">
        <f t="shared" si="91"/>
        <v>0.5247935930896146</v>
      </c>
      <c r="BQ57" s="17">
        <f t="shared" si="92"/>
        <v>9.6021208112530712</v>
      </c>
      <c r="BR57" s="5">
        <f t="shared" si="25"/>
        <v>-67.031316172381253</v>
      </c>
      <c r="BS57" s="5">
        <f t="shared" si="26"/>
        <v>0.37800000000000011</v>
      </c>
      <c r="BT57">
        <f t="shared" si="93"/>
        <v>8.3475000000000001</v>
      </c>
      <c r="BU57" s="5">
        <f t="shared" si="34"/>
        <v>-58.305816172381256</v>
      </c>
      <c r="BV57" s="5">
        <f t="shared" si="27"/>
        <v>-14.924696635204896</v>
      </c>
      <c r="BW57" s="5">
        <f t="shared" si="28"/>
        <v>-28.236479718871294</v>
      </c>
      <c r="BX57">
        <f t="shared" si="94"/>
        <v>5.4059999999999997</v>
      </c>
      <c r="BY57" s="5">
        <f t="shared" si="35"/>
        <v>-37.755176354076191</v>
      </c>
      <c r="BZ57" s="5">
        <f t="shared" si="36"/>
        <v>-96.060992526457454</v>
      </c>
      <c r="CA57" s="9">
        <f t="shared" si="172"/>
        <v>80.102543959657069</v>
      </c>
      <c r="CB57" s="9">
        <f t="shared" si="37"/>
        <v>5.7849080970702618</v>
      </c>
      <c r="CC57" s="16">
        <f t="shared" si="173"/>
        <v>18.597105947320838</v>
      </c>
      <c r="CD57" s="16">
        <f t="shared" si="38"/>
        <v>0.13160949699101429</v>
      </c>
      <c r="CE57" s="9">
        <f t="shared" si="39"/>
        <v>213.06132074279589</v>
      </c>
      <c r="CF57" s="9">
        <f t="shared" si="42"/>
        <v>8841.2562595879826</v>
      </c>
      <c r="CG57" s="9">
        <f t="shared" si="29"/>
        <v>15.387028908323336</v>
      </c>
      <c r="CH57" s="9">
        <f t="shared" si="30"/>
        <v>21.796727787275813</v>
      </c>
      <c r="CI57" s="9">
        <f t="shared" si="43"/>
        <v>4560.1462627376914</v>
      </c>
      <c r="CJ57" s="9">
        <f t="shared" si="40"/>
        <v>92.753168194326392</v>
      </c>
      <c r="CK57" s="9">
        <f t="shared" si="46"/>
        <v>3850.0313878841989</v>
      </c>
      <c r="CL57" s="9">
        <f t="shared" si="31"/>
        <v>0.65640309008062891</v>
      </c>
      <c r="CM57" s="9">
        <f t="shared" si="32"/>
        <v>-19.158070406755353</v>
      </c>
      <c r="CN57" s="9">
        <f t="shared" si="47"/>
        <v>2711.0675994229932</v>
      </c>
      <c r="CO57" s="9">
        <f t="shared" si="33"/>
        <v>2.6386573805204598</v>
      </c>
      <c r="CP57" s="9">
        <f t="shared" si="44"/>
        <v>7271.2138621606846</v>
      </c>
      <c r="CR57" s="18" t="s">
        <v>83</v>
      </c>
      <c r="CS57" s="19" t="s">
        <v>86</v>
      </c>
      <c r="CT57" s="19"/>
      <c r="CU57" s="20">
        <v>0</v>
      </c>
      <c r="CV57" s="28">
        <f>((D52+C52)-(D43+C43))/(D43+C43)</f>
        <v>0</v>
      </c>
      <c r="CX57" s="18" t="s">
        <v>84</v>
      </c>
      <c r="CY57" s="19" t="s">
        <v>100</v>
      </c>
      <c r="CZ57" s="19" t="s">
        <v>80</v>
      </c>
      <c r="DA57" s="20">
        <v>0</v>
      </c>
      <c r="DB57" s="40">
        <f>((BA62+AZ62)-(BA53+AZ53))/(AZ53+BA53)</f>
        <v>0</v>
      </c>
    </row>
    <row r="58" spans="1:106" x14ac:dyDescent="0.3">
      <c r="A58" s="1">
        <v>2046</v>
      </c>
      <c r="B58" s="15">
        <f t="shared" si="95"/>
        <v>93594500</v>
      </c>
      <c r="C58" s="15">
        <f t="shared" si="141"/>
        <v>9440400</v>
      </c>
      <c r="D58" s="15">
        <f t="shared" si="142"/>
        <v>4604500</v>
      </c>
      <c r="E58" s="2">
        <f t="shared" si="96"/>
        <v>31262992.800000001</v>
      </c>
      <c r="F58" s="11">
        <f t="shared" si="13"/>
        <v>0.39300000000000002</v>
      </c>
      <c r="J58" s="2">
        <f t="shared" si="97"/>
        <v>14707399.999999998</v>
      </c>
      <c r="K58" s="12">
        <f t="shared" si="98"/>
        <v>0.18488339350543559</v>
      </c>
      <c r="P58" s="15">
        <f t="shared" si="143"/>
        <v>79549600</v>
      </c>
      <c r="Q58" s="15">
        <f t="shared" si="70"/>
        <v>30667353890.293148</v>
      </c>
      <c r="R58" s="15">
        <f t="shared" si="81"/>
        <v>315574079647.87445</v>
      </c>
      <c r="S58" s="34">
        <f t="shared" si="144"/>
        <v>327.66192340675093</v>
      </c>
      <c r="T58" s="15">
        <f t="shared" si="145"/>
        <v>33428.041147395707</v>
      </c>
      <c r="U58" s="34">
        <f t="shared" si="71"/>
        <v>385.51235820536056</v>
      </c>
      <c r="V58" s="15">
        <f t="shared" si="72"/>
        <v>1487.1477358429768</v>
      </c>
      <c r="W58" s="14">
        <f t="shared" si="146"/>
        <v>59</v>
      </c>
      <c r="X58" s="15">
        <f t="shared" si="147"/>
        <v>1137.1477358429768</v>
      </c>
      <c r="Y58" s="35">
        <f t="shared" si="148"/>
        <v>64</v>
      </c>
      <c r="Z58" s="35">
        <f t="shared" si="149"/>
        <v>227</v>
      </c>
      <c r="AA58" s="33">
        <f t="shared" si="21"/>
        <v>0.33001496217161008</v>
      </c>
      <c r="AB58" s="54">
        <f t="shared" si="82"/>
        <v>41.640136603603352</v>
      </c>
      <c r="AC58" s="15">
        <f t="shared" si="73"/>
        <v>4250.6717011211331</v>
      </c>
      <c r="AD58" s="14">
        <f t="shared" si="150"/>
        <v>141.24251410103793</v>
      </c>
      <c r="AE58" s="35">
        <f t="shared" si="151"/>
        <v>182.5414948323355</v>
      </c>
      <c r="AF58" s="35">
        <f t="shared" si="152"/>
        <v>2477.9388438778574</v>
      </c>
      <c r="AG58" s="35">
        <f t="shared" si="153"/>
        <v>68.556308013954038</v>
      </c>
      <c r="AH58" s="35">
        <f t="shared" si="154"/>
        <v>191.62727059322094</v>
      </c>
      <c r="AI58" s="35">
        <f t="shared" si="155"/>
        <v>389.8623781034496</v>
      </c>
      <c r="AJ58" s="35">
        <f t="shared" si="156"/>
        <v>252.74976207554144</v>
      </c>
      <c r="AK58" s="35">
        <f t="shared" si="157"/>
        <v>546.15312952373586</v>
      </c>
      <c r="AL58" s="54">
        <f t="shared" si="83"/>
        <v>119.01880763139172</v>
      </c>
      <c r="AM58" s="16">
        <f t="shared" si="22"/>
        <v>0.21715366754237431</v>
      </c>
      <c r="AN58" s="16">
        <f t="shared" si="23"/>
        <v>0.1017385767641219</v>
      </c>
      <c r="AO58" s="15">
        <f t="shared" si="74"/>
        <v>5737.8194369641096</v>
      </c>
      <c r="AP58" s="15">
        <f t="shared" si="75"/>
        <v>936.79623963203937</v>
      </c>
      <c r="AQ58" s="15">
        <f t="shared" si="158"/>
        <v>925.79623963203937</v>
      </c>
      <c r="AR58" s="35">
        <f t="shared" si="159"/>
        <v>9</v>
      </c>
      <c r="AS58" s="14">
        <f t="shared" si="160"/>
        <v>2</v>
      </c>
      <c r="AT58" s="47">
        <f t="shared" si="84"/>
        <v>26.230294709697102</v>
      </c>
      <c r="AU58" s="14">
        <f t="shared" si="61"/>
        <v>135</v>
      </c>
      <c r="AV58" s="14">
        <f t="shared" si="161"/>
        <v>20</v>
      </c>
      <c r="AW58" s="14">
        <f t="shared" si="162"/>
        <v>10</v>
      </c>
      <c r="AX58" s="14">
        <f t="shared" si="163"/>
        <v>5</v>
      </c>
      <c r="AY58" s="14">
        <f t="shared" si="164"/>
        <v>7</v>
      </c>
      <c r="AZ58" s="14">
        <f t="shared" si="165"/>
        <v>13</v>
      </c>
      <c r="BA58" s="14">
        <f t="shared" si="166"/>
        <v>10</v>
      </c>
      <c r="BB58" s="14">
        <f t="shared" si="167"/>
        <v>70</v>
      </c>
      <c r="BC58" s="47">
        <f t="shared" si="85"/>
        <v>3.7800000000000002</v>
      </c>
      <c r="BD58" s="14">
        <f t="shared" si="76"/>
        <v>20.399999999999999</v>
      </c>
      <c r="BE58" s="14">
        <f t="shared" si="168"/>
        <v>11.7</v>
      </c>
      <c r="BF58" s="14">
        <f t="shared" si="169"/>
        <v>8.6999999999999993</v>
      </c>
      <c r="BG58" s="1" t="s">
        <v>48</v>
      </c>
      <c r="BH58" s="47">
        <f t="shared" si="86"/>
        <v>5.4059999999999997</v>
      </c>
      <c r="BI58" s="14">
        <f t="shared" si="77"/>
        <v>31.5</v>
      </c>
      <c r="BJ58" s="14">
        <f t="shared" si="170"/>
        <v>21.2</v>
      </c>
      <c r="BK58" s="14">
        <f t="shared" si="171"/>
        <v>10.3</v>
      </c>
      <c r="BL58" s="2">
        <f t="shared" si="87"/>
        <v>2423.943975475016</v>
      </c>
      <c r="BM58" s="2">
        <f t="shared" si="88"/>
        <v>4385.6717011211331</v>
      </c>
      <c r="BN58" s="9">
        <f t="shared" si="89"/>
        <v>73.276431313300449</v>
      </c>
      <c r="BO58" s="9">
        <f t="shared" si="90"/>
        <v>131.14630763139172</v>
      </c>
      <c r="BP58" s="16">
        <f t="shared" si="91"/>
        <v>0.51191367232120677</v>
      </c>
      <c r="BQ58" s="17">
        <f t="shared" si="92"/>
        <v>9.4278682720596141</v>
      </c>
      <c r="BR58" s="5">
        <f t="shared" si="25"/>
        <v>-74.838391429795365</v>
      </c>
      <c r="BS58" s="5">
        <f t="shared" si="26"/>
        <v>0.37800000000000011</v>
      </c>
      <c r="BT58">
        <f t="shared" si="93"/>
        <v>8.3475000000000001</v>
      </c>
      <c r="BU58" s="5">
        <f t="shared" si="34"/>
        <v>-66.112891429795368</v>
      </c>
      <c r="BV58" s="5">
        <f t="shared" si="27"/>
        <v>-17.067027855676798</v>
      </c>
      <c r="BW58" s="5">
        <f t="shared" si="28"/>
        <v>-28.549333714753274</v>
      </c>
      <c r="BX58">
        <f t="shared" si="94"/>
        <v>5.4059999999999997</v>
      </c>
      <c r="BY58" s="5">
        <f t="shared" si="35"/>
        <v>-40.210361570430074</v>
      </c>
      <c r="BZ58" s="5">
        <f t="shared" si="36"/>
        <v>-106.32325300022544</v>
      </c>
      <c r="CA58" s="9">
        <f t="shared" si="172"/>
        <v>78.500493080463926</v>
      </c>
      <c r="CB58" s="9">
        <f t="shared" si="37"/>
        <v>5.6432569198554372</v>
      </c>
      <c r="CC58" s="16">
        <f t="shared" si="173"/>
        <v>18.22516382837442</v>
      </c>
      <c r="CD58" s="16">
        <f t="shared" si="38"/>
        <v>0.1273221194977236</v>
      </c>
      <c r="CE58" s="9">
        <f t="shared" si="39"/>
        <v>209.64680071185563</v>
      </c>
      <c r="CF58" s="9">
        <f t="shared" si="42"/>
        <v>9050.9030602998391</v>
      </c>
      <c r="CG58" s="9">
        <f t="shared" si="29"/>
        <v>15.07112519191505</v>
      </c>
      <c r="CH58" s="9">
        <f t="shared" si="30"/>
        <v>12.387601650668557</v>
      </c>
      <c r="CI58" s="9">
        <f t="shared" si="43"/>
        <v>4572.5338643883597</v>
      </c>
      <c r="CJ58" s="9">
        <f t="shared" si="40"/>
        <v>91.501595141674869</v>
      </c>
      <c r="CK58" s="9">
        <f t="shared" si="46"/>
        <v>3941.5329830258738</v>
      </c>
      <c r="CL58" s="9">
        <f t="shared" si="31"/>
        <v>0.63923579181893042</v>
      </c>
      <c r="CM58" s="9">
        <f t="shared" si="32"/>
        <v>-21.985197742055654</v>
      </c>
      <c r="CN58" s="9">
        <f t="shared" si="47"/>
        <v>2689.0824016809374</v>
      </c>
      <c r="CO58" s="9">
        <f t="shared" si="33"/>
        <v>-9.5975960913870964</v>
      </c>
      <c r="CP58" s="9">
        <f t="shared" si="44"/>
        <v>7261.6162660692971</v>
      </c>
      <c r="CR58" s="18" t="s">
        <v>84</v>
      </c>
      <c r="CS58" s="19" t="s">
        <v>86</v>
      </c>
      <c r="CT58" s="19"/>
      <c r="CU58" s="20">
        <v>0</v>
      </c>
      <c r="CV58" s="28">
        <f>((D62+C62)-(D53+C53))/(D53+C53)</f>
        <v>0</v>
      </c>
      <c r="CX58" s="18" t="s">
        <v>84</v>
      </c>
      <c r="CY58" s="19" t="s">
        <v>98</v>
      </c>
      <c r="CZ58" s="19" t="s">
        <v>80</v>
      </c>
      <c r="DA58" s="20">
        <v>0</v>
      </c>
      <c r="DB58" s="40">
        <f>((AW62+AV62)-(AW53+AV53))/(AW53+AV53)</f>
        <v>0</v>
      </c>
    </row>
    <row r="59" spans="1:106" x14ac:dyDescent="0.3">
      <c r="A59" s="1">
        <v>2047</v>
      </c>
      <c r="B59" s="15">
        <f t="shared" si="95"/>
        <v>93594500</v>
      </c>
      <c r="C59" s="15">
        <f t="shared" si="141"/>
        <v>9440400</v>
      </c>
      <c r="D59" s="15">
        <f t="shared" si="142"/>
        <v>4604500</v>
      </c>
      <c r="E59" s="2">
        <f t="shared" si="96"/>
        <v>31262992.800000001</v>
      </c>
      <c r="F59" s="11">
        <f t="shared" si="13"/>
        <v>0.39300000000000002</v>
      </c>
      <c r="J59" s="2">
        <f t="shared" si="97"/>
        <v>14707399.999999998</v>
      </c>
      <c r="K59" s="12">
        <f t="shared" si="98"/>
        <v>0.18488339350543559</v>
      </c>
      <c r="P59" s="15">
        <f t="shared" si="143"/>
        <v>79549600</v>
      </c>
      <c r="Q59" s="15">
        <f t="shared" si="70"/>
        <v>30807745640.293148</v>
      </c>
      <c r="R59" s="15">
        <f t="shared" si="81"/>
        <v>319676542683.29675</v>
      </c>
      <c r="S59" s="34">
        <f t="shared" si="144"/>
        <v>329.16192340675093</v>
      </c>
      <c r="T59" s="15">
        <f t="shared" si="145"/>
        <v>33862.605682311849</v>
      </c>
      <c r="U59" s="34">
        <f t="shared" si="71"/>
        <v>387.27719108949822</v>
      </c>
      <c r="V59" s="15">
        <f t="shared" si="72"/>
        <v>1470.0905198053322</v>
      </c>
      <c r="W59" s="14">
        <f t="shared" si="146"/>
        <v>59</v>
      </c>
      <c r="X59" s="15">
        <f t="shared" si="147"/>
        <v>1120.0905198053322</v>
      </c>
      <c r="Y59" s="35">
        <f t="shared" si="148"/>
        <v>64</v>
      </c>
      <c r="Z59" s="35">
        <f t="shared" si="149"/>
        <v>227</v>
      </c>
      <c r="AA59" s="33">
        <f t="shared" si="21"/>
        <v>0.32506473773903594</v>
      </c>
      <c r="AB59" s="54">
        <f t="shared" si="82"/>
        <v>41.162534554549303</v>
      </c>
      <c r="AC59" s="15">
        <f t="shared" si="73"/>
        <v>4186.9116256043153</v>
      </c>
      <c r="AD59" s="14">
        <f t="shared" si="150"/>
        <v>139.12387638952237</v>
      </c>
      <c r="AE59" s="35">
        <f t="shared" si="151"/>
        <v>179.80337240985045</v>
      </c>
      <c r="AF59" s="35">
        <f t="shared" si="152"/>
        <v>2440.7697612196894</v>
      </c>
      <c r="AG59" s="35">
        <f t="shared" si="153"/>
        <v>67.527963393744727</v>
      </c>
      <c r="AH59" s="35">
        <f t="shared" si="154"/>
        <v>188.75286153432262</v>
      </c>
      <c r="AI59" s="35">
        <f t="shared" si="155"/>
        <v>384.01444243189786</v>
      </c>
      <c r="AJ59" s="35">
        <f t="shared" si="156"/>
        <v>248.95851564440832</v>
      </c>
      <c r="AK59" s="35">
        <f t="shared" si="157"/>
        <v>537.96083258087981</v>
      </c>
      <c r="AL59" s="54">
        <f t="shared" si="83"/>
        <v>117.23352551692082</v>
      </c>
      <c r="AM59" s="16">
        <f t="shared" si="22"/>
        <v>0.21389636252923869</v>
      </c>
      <c r="AN59" s="16">
        <f t="shared" si="23"/>
        <v>0.10021249811266006</v>
      </c>
      <c r="AO59" s="15">
        <f t="shared" si="74"/>
        <v>5657.0021454096477</v>
      </c>
      <c r="AP59" s="15">
        <f t="shared" si="75"/>
        <v>922.90929603755876</v>
      </c>
      <c r="AQ59" s="15">
        <f t="shared" si="158"/>
        <v>911.90929603755876</v>
      </c>
      <c r="AR59" s="35">
        <f t="shared" si="159"/>
        <v>9</v>
      </c>
      <c r="AS59" s="14">
        <f t="shared" si="160"/>
        <v>2</v>
      </c>
      <c r="AT59" s="47">
        <f t="shared" si="84"/>
        <v>25.841460289051646</v>
      </c>
      <c r="AU59" s="14">
        <f t="shared" si="61"/>
        <v>135</v>
      </c>
      <c r="AV59" s="14">
        <f t="shared" si="161"/>
        <v>20</v>
      </c>
      <c r="AW59" s="14">
        <f t="shared" si="162"/>
        <v>10</v>
      </c>
      <c r="AX59" s="14">
        <f t="shared" si="163"/>
        <v>5</v>
      </c>
      <c r="AY59" s="14">
        <f t="shared" si="164"/>
        <v>7</v>
      </c>
      <c r="AZ59" s="14">
        <f t="shared" si="165"/>
        <v>13</v>
      </c>
      <c r="BA59" s="14">
        <f t="shared" si="166"/>
        <v>10</v>
      </c>
      <c r="BB59" s="14">
        <f t="shared" si="167"/>
        <v>70</v>
      </c>
      <c r="BC59" s="47">
        <f t="shared" si="85"/>
        <v>3.7800000000000002</v>
      </c>
      <c r="BD59" s="14">
        <f t="shared" si="76"/>
        <v>20.399999999999999</v>
      </c>
      <c r="BE59" s="14">
        <f t="shared" si="168"/>
        <v>11.7</v>
      </c>
      <c r="BF59" s="14">
        <f t="shared" si="169"/>
        <v>8.6999999999999993</v>
      </c>
      <c r="BG59" s="1" t="s">
        <v>48</v>
      </c>
      <c r="BH59" s="47">
        <f t="shared" si="86"/>
        <v>5.4059999999999997</v>
      </c>
      <c r="BI59" s="14">
        <f t="shared" si="77"/>
        <v>31.5</v>
      </c>
      <c r="BJ59" s="14">
        <f t="shared" si="170"/>
        <v>21.2</v>
      </c>
      <c r="BK59" s="14">
        <f t="shared" si="171"/>
        <v>10.3</v>
      </c>
      <c r="BL59" s="2">
        <f t="shared" si="87"/>
        <v>2392.9998158428907</v>
      </c>
      <c r="BM59" s="2">
        <f t="shared" si="88"/>
        <v>4321.9116256043153</v>
      </c>
      <c r="BN59" s="9">
        <f t="shared" si="89"/>
        <v>72.409994843600956</v>
      </c>
      <c r="BO59" s="9">
        <f t="shared" si="90"/>
        <v>129.36102551692082</v>
      </c>
      <c r="BP59" s="16">
        <f t="shared" si="91"/>
        <v>0.49936889798714845</v>
      </c>
      <c r="BQ59" s="17">
        <f t="shared" si="92"/>
        <v>9.2571494001857211</v>
      </c>
      <c r="BR59" s="5">
        <f t="shared" si="25"/>
        <v>-82.524326458348696</v>
      </c>
      <c r="BS59" s="5">
        <f t="shared" si="26"/>
        <v>0.37800000000000011</v>
      </c>
      <c r="BT59">
        <f t="shared" si="93"/>
        <v>8.3475000000000001</v>
      </c>
      <c r="BU59" s="5">
        <f t="shared" si="34"/>
        <v>-73.798826458348699</v>
      </c>
      <c r="BV59" s="5">
        <f t="shared" si="27"/>
        <v>-19.176429678490535</v>
      </c>
      <c r="BW59" s="5">
        <f t="shared" si="28"/>
        <v>-28.850117952780408</v>
      </c>
      <c r="BX59">
        <f t="shared" si="94"/>
        <v>5.4059999999999997</v>
      </c>
      <c r="BY59" s="5">
        <f t="shared" si="35"/>
        <v>-42.620547631270945</v>
      </c>
      <c r="BZ59" s="5">
        <f t="shared" si="36"/>
        <v>-116.41937408961965</v>
      </c>
      <c r="CA59" s="9">
        <f t="shared" si="172"/>
        <v>76.930483218854647</v>
      </c>
      <c r="CB59" s="9">
        <f t="shared" si="37"/>
        <v>5.505189632964572</v>
      </c>
      <c r="CC59" s="16">
        <f t="shared" si="173"/>
        <v>17.86066055180693</v>
      </c>
      <c r="CD59" s="16">
        <f t="shared" si="38"/>
        <v>0.12317440978062104</v>
      </c>
      <c r="CE59" s="9">
        <f t="shared" si="39"/>
        <v>206.29150873577547</v>
      </c>
      <c r="CF59" s="9">
        <f t="shared" si="42"/>
        <v>9257.1945690356151</v>
      </c>
      <c r="CG59" s="9">
        <f t="shared" si="29"/>
        <v>14.76233903315029</v>
      </c>
      <c r="CH59" s="9">
        <f t="shared" si="30"/>
        <v>3.1316567605059475</v>
      </c>
      <c r="CI59" s="9">
        <f t="shared" si="43"/>
        <v>4575.665521148866</v>
      </c>
      <c r="CJ59" s="9">
        <f t="shared" si="40"/>
        <v>90.270655395407886</v>
      </c>
      <c r="CK59" s="9">
        <f t="shared" si="46"/>
        <v>4031.8036384212819</v>
      </c>
      <c r="CL59" s="9">
        <f t="shared" si="31"/>
        <v>0.62254330776776945</v>
      </c>
      <c r="CM59" s="9">
        <f t="shared" si="32"/>
        <v>-24.759887079464015</v>
      </c>
      <c r="CN59" s="9">
        <f t="shared" si="47"/>
        <v>2664.3225146014734</v>
      </c>
      <c r="CO59" s="9">
        <f t="shared" si="33"/>
        <v>-21.628230318958067</v>
      </c>
      <c r="CP59" s="9">
        <f t="shared" si="44"/>
        <v>7239.9880357503389</v>
      </c>
      <c r="CR59" s="24" t="s">
        <v>73</v>
      </c>
      <c r="CS59" s="19"/>
      <c r="CT59" s="25" t="s">
        <v>76</v>
      </c>
      <c r="CU59" s="25" t="s">
        <v>88</v>
      </c>
      <c r="CV59" s="46" t="s">
        <v>148</v>
      </c>
      <c r="CX59" s="18" t="s">
        <v>84</v>
      </c>
      <c r="CY59" s="19" t="s">
        <v>18</v>
      </c>
      <c r="CZ59" s="19" t="s">
        <v>80</v>
      </c>
      <c r="DA59" s="20">
        <v>0</v>
      </c>
      <c r="DB59" s="40">
        <f>(AX62-AX53)/AX53</f>
        <v>0</v>
      </c>
    </row>
    <row r="60" spans="1:106" x14ac:dyDescent="0.3">
      <c r="A60" s="1">
        <v>2048</v>
      </c>
      <c r="B60" s="15">
        <f t="shared" si="95"/>
        <v>93594500</v>
      </c>
      <c r="C60" s="15">
        <f t="shared" si="141"/>
        <v>9440400</v>
      </c>
      <c r="D60" s="15">
        <f t="shared" si="142"/>
        <v>4604500</v>
      </c>
      <c r="E60" s="2">
        <f t="shared" si="96"/>
        <v>31262992.800000001</v>
      </c>
      <c r="F60" s="11">
        <f t="shared" si="13"/>
        <v>0.39300000000000002</v>
      </c>
      <c r="J60" s="2">
        <f t="shared" si="97"/>
        <v>14707399.999999998</v>
      </c>
      <c r="K60" s="12">
        <f t="shared" si="98"/>
        <v>0.18488339350543559</v>
      </c>
      <c r="P60" s="15">
        <f t="shared" si="143"/>
        <v>79549600</v>
      </c>
      <c r="Q60" s="15">
        <f t="shared" si="70"/>
        <v>30948137390.293148</v>
      </c>
      <c r="R60" s="15">
        <f t="shared" si="81"/>
        <v>323832337738.17963</v>
      </c>
      <c r="S60" s="34">
        <f t="shared" si="144"/>
        <v>330.66192340675093</v>
      </c>
      <c r="T60" s="15">
        <f t="shared" si="145"/>
        <v>34302.819556181901</v>
      </c>
      <c r="U60" s="34">
        <f t="shared" si="71"/>
        <v>389.04202397363593</v>
      </c>
      <c r="V60" s="15">
        <f t="shared" si="72"/>
        <v>1453.2891620082521</v>
      </c>
      <c r="W60" s="14">
        <f t="shared" si="146"/>
        <v>59</v>
      </c>
      <c r="X60" s="15">
        <f t="shared" si="147"/>
        <v>1103.2891620082521</v>
      </c>
      <c r="Y60" s="35">
        <f t="shared" si="148"/>
        <v>64</v>
      </c>
      <c r="Z60" s="35">
        <f t="shared" si="149"/>
        <v>227</v>
      </c>
      <c r="AA60" s="33">
        <f t="shared" si="21"/>
        <v>0.32018876667295038</v>
      </c>
      <c r="AB60" s="54">
        <f t="shared" si="82"/>
        <v>40.692096536231062</v>
      </c>
      <c r="AC60" s="15">
        <f t="shared" si="73"/>
        <v>4124.1079512202505</v>
      </c>
      <c r="AD60" s="14">
        <f t="shared" si="150"/>
        <v>137.03701824367954</v>
      </c>
      <c r="AE60" s="35">
        <f t="shared" si="151"/>
        <v>177.1063218237027</v>
      </c>
      <c r="AF60" s="35">
        <f t="shared" si="152"/>
        <v>2404.158214801394</v>
      </c>
      <c r="AG60" s="35">
        <f t="shared" si="153"/>
        <v>66.51504394283856</v>
      </c>
      <c r="AH60" s="35">
        <f t="shared" si="154"/>
        <v>185.92156861130778</v>
      </c>
      <c r="AI60" s="35">
        <f t="shared" si="155"/>
        <v>378.25422579541942</v>
      </c>
      <c r="AJ60" s="35">
        <f t="shared" si="156"/>
        <v>245.22413790974218</v>
      </c>
      <c r="AK60" s="35">
        <f t="shared" si="157"/>
        <v>529.89142009216664</v>
      </c>
      <c r="AL60" s="54">
        <f t="shared" si="83"/>
        <v>115.47502263416702</v>
      </c>
      <c r="AM60" s="16">
        <f t="shared" si="22"/>
        <v>0.21068791709130011</v>
      </c>
      <c r="AN60" s="16">
        <f t="shared" si="23"/>
        <v>9.8709310640970174E-2</v>
      </c>
      <c r="AO60" s="15">
        <f t="shared" si="74"/>
        <v>5577.3971132285023</v>
      </c>
      <c r="AP60" s="15">
        <f t="shared" si="75"/>
        <v>909.23065659699535</v>
      </c>
      <c r="AQ60" s="15">
        <f t="shared" si="158"/>
        <v>898.23065659699535</v>
      </c>
      <c r="AR60" s="35">
        <f t="shared" si="159"/>
        <v>9</v>
      </c>
      <c r="AS60" s="14">
        <f t="shared" si="160"/>
        <v>2</v>
      </c>
      <c r="AT60" s="47">
        <f t="shared" si="84"/>
        <v>25.458458384715868</v>
      </c>
      <c r="AU60" s="14">
        <f t="shared" si="61"/>
        <v>135</v>
      </c>
      <c r="AV60" s="14">
        <f t="shared" si="161"/>
        <v>20</v>
      </c>
      <c r="AW60" s="14">
        <f t="shared" si="162"/>
        <v>10</v>
      </c>
      <c r="AX60" s="14">
        <f t="shared" si="163"/>
        <v>5</v>
      </c>
      <c r="AY60" s="14">
        <f t="shared" si="164"/>
        <v>7</v>
      </c>
      <c r="AZ60" s="14">
        <f t="shared" si="165"/>
        <v>13</v>
      </c>
      <c r="BA60" s="14">
        <f t="shared" si="166"/>
        <v>10</v>
      </c>
      <c r="BB60" s="14">
        <f t="shared" si="167"/>
        <v>70</v>
      </c>
      <c r="BC60" s="47">
        <f t="shared" si="85"/>
        <v>3.7800000000000002</v>
      </c>
      <c r="BD60" s="14">
        <f t="shared" si="76"/>
        <v>20.399999999999999</v>
      </c>
      <c r="BE60" s="14">
        <f t="shared" si="168"/>
        <v>11.7</v>
      </c>
      <c r="BF60" s="14">
        <f t="shared" si="169"/>
        <v>8.6999999999999993</v>
      </c>
      <c r="BG60" s="1" t="s">
        <v>48</v>
      </c>
      <c r="BH60" s="47">
        <f t="shared" si="86"/>
        <v>5.4059999999999997</v>
      </c>
      <c r="BI60" s="14">
        <f t="shared" si="77"/>
        <v>31.5</v>
      </c>
      <c r="BJ60" s="14">
        <f t="shared" si="170"/>
        <v>21.2</v>
      </c>
      <c r="BK60" s="14">
        <f t="shared" si="171"/>
        <v>10.3</v>
      </c>
      <c r="BL60" s="2">
        <f t="shared" si="87"/>
        <v>2362.5198186052476</v>
      </c>
      <c r="BM60" s="2">
        <f t="shared" si="88"/>
        <v>4259.1079512202505</v>
      </c>
      <c r="BN60" s="9">
        <f t="shared" si="89"/>
        <v>71.556554920946937</v>
      </c>
      <c r="BO60" s="9">
        <f t="shared" si="90"/>
        <v>127.60252263416702</v>
      </c>
      <c r="BP60" s="16">
        <f t="shared" si="91"/>
        <v>0.48715027415626377</v>
      </c>
      <c r="BQ60" s="17">
        <f t="shared" si="92"/>
        <v>9.0898870553021212</v>
      </c>
      <c r="BR60" s="5">
        <f t="shared" si="25"/>
        <v>-90.090958531973456</v>
      </c>
      <c r="BS60" s="5">
        <f t="shared" si="26"/>
        <v>0.37800000000000011</v>
      </c>
      <c r="BT60">
        <f t="shared" si="93"/>
        <v>8.3475000000000001</v>
      </c>
      <c r="BU60" s="5">
        <f t="shared" si="34"/>
        <v>-81.365458531973459</v>
      </c>
      <c r="BV60" s="5">
        <f t="shared" si="27"/>
        <v>-21.253396306772686</v>
      </c>
      <c r="BW60" s="5">
        <f t="shared" si="28"/>
        <v>-29.139087248799626</v>
      </c>
      <c r="BX60">
        <f t="shared" si="94"/>
        <v>5.4059999999999997</v>
      </c>
      <c r="BY60" s="5">
        <f t="shared" si="35"/>
        <v>-44.986483555572313</v>
      </c>
      <c r="BZ60" s="5">
        <f t="shared" si="36"/>
        <v>-126.35194208754578</v>
      </c>
      <c r="CA60" s="9">
        <f t="shared" si="172"/>
        <v>75.391873554477556</v>
      </c>
      <c r="CB60" s="9">
        <f t="shared" si="37"/>
        <v>5.3706118135498526</v>
      </c>
      <c r="CC60" s="16">
        <f t="shared" si="173"/>
        <v>17.503447340770791</v>
      </c>
      <c r="CD60" s="16">
        <f t="shared" si="38"/>
        <v>0.11916181795163733</v>
      </c>
      <c r="CE60" s="9">
        <f t="shared" si="39"/>
        <v>202.99439618864457</v>
      </c>
      <c r="CF60" s="9">
        <f t="shared" si="42"/>
        <v>9460.1889652242589</v>
      </c>
      <c r="CG60" s="9">
        <f t="shared" si="29"/>
        <v>14.460498868851973</v>
      </c>
      <c r="CH60" s="9">
        <f t="shared" si="30"/>
        <v>-5.9735849774959036</v>
      </c>
      <c r="CI60" s="9">
        <f t="shared" si="43"/>
        <v>4569.6919361713699</v>
      </c>
      <c r="CJ60" s="9">
        <f t="shared" si="40"/>
        <v>89.060002261717727</v>
      </c>
      <c r="CK60" s="9">
        <f t="shared" si="46"/>
        <v>4120.8636406829992</v>
      </c>
      <c r="CL60" s="9">
        <f t="shared" si="31"/>
        <v>0.60631209210790116</v>
      </c>
      <c r="CM60" s="9">
        <f t="shared" si="32"/>
        <v>-27.483036214801523</v>
      </c>
      <c r="CN60" s="9">
        <f t="shared" si="47"/>
        <v>2636.839478386672</v>
      </c>
      <c r="CO60" s="9">
        <f t="shared" si="33"/>
        <v>-33.456621192297426</v>
      </c>
      <c r="CP60" s="9">
        <f t="shared" si="44"/>
        <v>7206.5314145580414</v>
      </c>
      <c r="CR60" s="18" t="s">
        <v>74</v>
      </c>
      <c r="CS60" s="19"/>
      <c r="CT60" s="19" t="s">
        <v>127</v>
      </c>
      <c r="CU60" s="44">
        <v>0</v>
      </c>
      <c r="CV60" s="57">
        <f>(AVERAGE(CC32:CC37)*10^9)/(AVERAGE(R32:R37)/CS9)</f>
        <v>0.22386472167397259</v>
      </c>
      <c r="CX60" s="18" t="s">
        <v>84</v>
      </c>
      <c r="CY60" s="19" t="s">
        <v>98</v>
      </c>
      <c r="CZ60" s="19" t="s">
        <v>81</v>
      </c>
      <c r="DA60" s="20">
        <v>0</v>
      </c>
      <c r="DB60" s="40">
        <f>((BK62+BJ62)-(BK53+BJ53))/(BK53+BJ53)</f>
        <v>0</v>
      </c>
    </row>
    <row r="61" spans="1:106" x14ac:dyDescent="0.3">
      <c r="A61" s="1">
        <v>2049</v>
      </c>
      <c r="B61" s="15">
        <f t="shared" si="95"/>
        <v>93594500</v>
      </c>
      <c r="C61" s="15">
        <f t="shared" si="141"/>
        <v>9440400</v>
      </c>
      <c r="D61" s="15">
        <f t="shared" si="142"/>
        <v>4604500</v>
      </c>
      <c r="E61" s="2">
        <f t="shared" si="96"/>
        <v>31262992.800000001</v>
      </c>
      <c r="F61" s="11">
        <f t="shared" si="13"/>
        <v>0.39300000000000002</v>
      </c>
      <c r="J61" s="2">
        <f t="shared" si="97"/>
        <v>14707399.999999998</v>
      </c>
      <c r="K61" s="12">
        <f t="shared" si="98"/>
        <v>0.18488339350543559</v>
      </c>
      <c r="N61" s="2"/>
      <c r="P61" s="15">
        <f t="shared" si="143"/>
        <v>79549600</v>
      </c>
      <c r="Q61" s="15">
        <f t="shared" si="70"/>
        <v>31088529140.293148</v>
      </c>
      <c r="R61" s="15">
        <f t="shared" si="81"/>
        <v>328042158128.77594</v>
      </c>
      <c r="S61" s="34">
        <f t="shared" si="144"/>
        <v>332.16192340675093</v>
      </c>
      <c r="T61" s="15">
        <f t="shared" si="145"/>
        <v>34748.756210412263</v>
      </c>
      <c r="U61" s="34">
        <f t="shared" si="71"/>
        <v>390.8068568577736</v>
      </c>
      <c r="V61" s="15">
        <f t="shared" si="72"/>
        <v>1436.7398245781283</v>
      </c>
      <c r="W61" s="14">
        <f t="shared" si="146"/>
        <v>59</v>
      </c>
      <c r="X61" s="15">
        <f t="shared" si="147"/>
        <v>1086.7398245781283</v>
      </c>
      <c r="Y61" s="35">
        <f t="shared" si="148"/>
        <v>64</v>
      </c>
      <c r="Z61" s="35">
        <f t="shared" si="149"/>
        <v>227</v>
      </c>
      <c r="AA61" s="33">
        <f t="shared" si="21"/>
        <v>0.31538593517285612</v>
      </c>
      <c r="AB61" s="54">
        <f t="shared" si="82"/>
        <v>40.228715088187592</v>
      </c>
      <c r="AC61" s="15">
        <f t="shared" si="73"/>
        <v>4062.2463319519475</v>
      </c>
      <c r="AD61" s="14">
        <f t="shared" si="150"/>
        <v>134.98146297002435</v>
      </c>
      <c r="AE61" s="35">
        <f t="shared" si="151"/>
        <v>174.44972699634715</v>
      </c>
      <c r="AF61" s="35">
        <f t="shared" si="152"/>
        <v>2368.095841579373</v>
      </c>
      <c r="AG61" s="35">
        <f t="shared" si="153"/>
        <v>65.517318283695985</v>
      </c>
      <c r="AH61" s="35">
        <f t="shared" si="154"/>
        <v>183.13274508213814</v>
      </c>
      <c r="AI61" s="35">
        <f t="shared" si="155"/>
        <v>372.58041240848814</v>
      </c>
      <c r="AJ61" s="35">
        <f t="shared" si="156"/>
        <v>241.54577584109606</v>
      </c>
      <c r="AK61" s="35">
        <f t="shared" si="157"/>
        <v>521.94304879078413</v>
      </c>
      <c r="AL61" s="54">
        <f t="shared" si="83"/>
        <v>113.74289729465454</v>
      </c>
      <c r="AM61" s="16">
        <f t="shared" si="22"/>
        <v>0.20752759833493059</v>
      </c>
      <c r="AN61" s="16">
        <f t="shared" si="23"/>
        <v>9.7228670981355611E-2</v>
      </c>
      <c r="AO61" s="15">
        <f t="shared" si="74"/>
        <v>5498.9861565300762</v>
      </c>
      <c r="AP61" s="15">
        <f t="shared" si="75"/>
        <v>895.75719674804043</v>
      </c>
      <c r="AQ61" s="15">
        <f t="shared" si="158"/>
        <v>884.75719674804043</v>
      </c>
      <c r="AR61" s="35">
        <f t="shared" si="159"/>
        <v>9</v>
      </c>
      <c r="AS61" s="14">
        <f t="shared" si="160"/>
        <v>2</v>
      </c>
      <c r="AT61" s="47">
        <f t="shared" si="84"/>
        <v>25.081201508945131</v>
      </c>
      <c r="AU61" s="14">
        <f t="shared" si="61"/>
        <v>135</v>
      </c>
      <c r="AV61" s="14">
        <f t="shared" si="161"/>
        <v>20</v>
      </c>
      <c r="AW61" s="14">
        <f t="shared" si="162"/>
        <v>10</v>
      </c>
      <c r="AX61" s="14">
        <f t="shared" si="163"/>
        <v>5</v>
      </c>
      <c r="AY61" s="14">
        <f t="shared" si="164"/>
        <v>7</v>
      </c>
      <c r="AZ61" s="14">
        <f t="shared" si="165"/>
        <v>13</v>
      </c>
      <c r="BA61" s="14">
        <f t="shared" si="166"/>
        <v>10</v>
      </c>
      <c r="BB61" s="14">
        <f t="shared" si="167"/>
        <v>70</v>
      </c>
      <c r="BC61" s="47">
        <f t="shared" si="85"/>
        <v>3.7800000000000002</v>
      </c>
      <c r="BD61" s="14">
        <f t="shared" si="76"/>
        <v>20.399999999999999</v>
      </c>
      <c r="BE61" s="14">
        <f t="shared" si="168"/>
        <v>11.7</v>
      </c>
      <c r="BF61" s="14">
        <f t="shared" si="169"/>
        <v>8.6999999999999993</v>
      </c>
      <c r="BG61" s="1" t="s">
        <v>48</v>
      </c>
      <c r="BH61" s="47">
        <f t="shared" si="86"/>
        <v>5.4059999999999997</v>
      </c>
      <c r="BI61" s="14">
        <f t="shared" si="77"/>
        <v>31.5</v>
      </c>
      <c r="BJ61" s="14">
        <f t="shared" si="170"/>
        <v>21.2</v>
      </c>
      <c r="BK61" s="14">
        <f t="shared" si="171"/>
        <v>10.3</v>
      </c>
      <c r="BL61" s="2">
        <f t="shared" si="87"/>
        <v>2332.4970213261686</v>
      </c>
      <c r="BM61" s="2">
        <f t="shared" si="88"/>
        <v>4197.2463319519475</v>
      </c>
      <c r="BN61" s="9">
        <f t="shared" si="89"/>
        <v>70.715916597132718</v>
      </c>
      <c r="BO61" s="9">
        <f t="shared" si="90"/>
        <v>125.87039729465452</v>
      </c>
      <c r="BP61" s="16">
        <f t="shared" si="91"/>
        <v>0.47524905011498575</v>
      </c>
      <c r="BQ61" s="17">
        <f t="shared" si="92"/>
        <v>8.9260059242907186</v>
      </c>
      <c r="BR61" s="5">
        <f t="shared" si="25"/>
        <v>-97.540097264641076</v>
      </c>
      <c r="BS61" s="5">
        <f t="shared" si="26"/>
        <v>0.37800000000000011</v>
      </c>
      <c r="BT61">
        <f t="shared" si="93"/>
        <v>8.3475000000000001</v>
      </c>
      <c r="BU61" s="5">
        <f t="shared" si="34"/>
        <v>-88.81459726464108</v>
      </c>
      <c r="BV61" s="5">
        <f t="shared" si="27"/>
        <v>-23.298414530516339</v>
      </c>
      <c r="BW61" s="5">
        <f t="shared" si="28"/>
        <v>-29.41649185872545</v>
      </c>
      <c r="BX61">
        <f t="shared" si="94"/>
        <v>5.4059999999999997</v>
      </c>
      <c r="BY61" s="5">
        <f t="shared" si="35"/>
        <v>-47.308906389241791</v>
      </c>
      <c r="BZ61" s="5">
        <f t="shared" si="36"/>
        <v>-136.12350365388286</v>
      </c>
      <c r="CA61" s="9">
        <f t="shared" si="172"/>
        <v>73.884036083387997</v>
      </c>
      <c r="CB61" s="9">
        <f t="shared" si="37"/>
        <v>5.2394316532346217</v>
      </c>
      <c r="CC61" s="16">
        <f t="shared" si="173"/>
        <v>17.153378393955375</v>
      </c>
      <c r="CD61" s="16">
        <f t="shared" si="38"/>
        <v>0.11527994234215656</v>
      </c>
      <c r="CE61" s="9">
        <f t="shared" si="39"/>
        <v>199.75443337804251</v>
      </c>
      <c r="CF61" s="9">
        <f t="shared" si="42"/>
        <v>9659.9433986023014</v>
      </c>
      <c r="CG61" s="9">
        <f t="shared" si="29"/>
        <v>14.165437577525338</v>
      </c>
      <c r="CH61" s="9">
        <f t="shared" si="30"/>
        <v>-14.930561181253083</v>
      </c>
      <c r="CI61" s="9">
        <f t="shared" si="43"/>
        <v>4554.7613749901166</v>
      </c>
      <c r="CJ61" s="9">
        <f t="shared" si="40"/>
        <v>87.869294991088097</v>
      </c>
      <c r="CK61" s="9">
        <f t="shared" si="46"/>
        <v>4208.7329356740875</v>
      </c>
      <c r="CL61" s="9">
        <f t="shared" si="31"/>
        <v>0.59052899245714241</v>
      </c>
      <c r="CM61" s="9">
        <f t="shared" si="32"/>
        <v>-30.155527995286416</v>
      </c>
      <c r="CN61" s="9">
        <f t="shared" si="47"/>
        <v>2606.6839503913857</v>
      </c>
      <c r="CO61" s="9">
        <f t="shared" si="33"/>
        <v>-45.086089176539502</v>
      </c>
      <c r="CP61" s="9">
        <f t="shared" si="44"/>
        <v>7161.4453253815018</v>
      </c>
      <c r="CR61" s="18" t="s">
        <v>82</v>
      </c>
      <c r="CS61" s="19"/>
      <c r="CT61" s="19" t="s">
        <v>127</v>
      </c>
      <c r="CU61" s="44">
        <v>-7.4999999999999997E-3</v>
      </c>
      <c r="CV61" s="58">
        <f>(AVERAGE(CC38:CC42)*10^9)/(AVERAGE(R38:R42)/CS9)</f>
        <v>0.2035432047337071</v>
      </c>
      <c r="CX61" s="24" t="s">
        <v>73</v>
      </c>
      <c r="CY61" s="25" t="s">
        <v>72</v>
      </c>
      <c r="CZ61" s="25" t="s">
        <v>76</v>
      </c>
      <c r="DA61" s="25" t="s">
        <v>103</v>
      </c>
      <c r="DB61" s="26" t="s">
        <v>87</v>
      </c>
    </row>
    <row r="62" spans="1:106" x14ac:dyDescent="0.3">
      <c r="A62" s="1">
        <v>2050</v>
      </c>
      <c r="B62" s="15">
        <f t="shared" si="95"/>
        <v>93594500</v>
      </c>
      <c r="C62" s="15">
        <f t="shared" si="141"/>
        <v>9440400</v>
      </c>
      <c r="D62" s="15">
        <f t="shared" si="142"/>
        <v>4604500</v>
      </c>
      <c r="E62" s="2">
        <f t="shared" si="96"/>
        <v>31262992.800000001</v>
      </c>
      <c r="F62" s="11">
        <f t="shared" si="13"/>
        <v>0.39300000000000002</v>
      </c>
      <c r="J62" s="2">
        <f t="shared" si="97"/>
        <v>14707399.999999998</v>
      </c>
      <c r="K62" s="12">
        <f t="shared" si="98"/>
        <v>0.18488339350543559</v>
      </c>
      <c r="N62" s="55"/>
      <c r="P62" s="15">
        <f t="shared" si="143"/>
        <v>79549600</v>
      </c>
      <c r="Q62" s="15">
        <f t="shared" si="70"/>
        <v>31228920890.293148</v>
      </c>
      <c r="R62" s="15">
        <f>T62*C62</f>
        <v>332306706184.45001</v>
      </c>
      <c r="S62" s="34">
        <f t="shared" si="144"/>
        <v>333.66192340675093</v>
      </c>
      <c r="T62" s="15">
        <f t="shared" si="145"/>
        <v>35200.490041147619</v>
      </c>
      <c r="U62" s="34">
        <f t="shared" si="71"/>
        <v>392.57168974191131</v>
      </c>
      <c r="V62" s="15">
        <f t="shared" si="72"/>
        <v>1420.4387272094564</v>
      </c>
      <c r="W62" s="14">
        <f t="shared" si="146"/>
        <v>59</v>
      </c>
      <c r="X62" s="15">
        <f t="shared" si="147"/>
        <v>1070.4387272094564</v>
      </c>
      <c r="Y62" s="35">
        <f t="shared" si="148"/>
        <v>64</v>
      </c>
      <c r="Z62" s="35">
        <f t="shared" si="149"/>
        <v>227</v>
      </c>
      <c r="AA62" s="33">
        <f>((X62*10^6)/C62)/365</f>
        <v>0.31065514614526329</v>
      </c>
      <c r="AB62" s="54">
        <f t="shared" si="82"/>
        <v>39.772284361864777</v>
      </c>
      <c r="AC62" s="15">
        <f t="shared" si="73"/>
        <v>4001.3126369726679</v>
      </c>
      <c r="AD62" s="14">
        <f t="shared" si="150"/>
        <v>132.95674102547397</v>
      </c>
      <c r="AE62" s="35">
        <f t="shared" si="151"/>
        <v>171.83298109140193</v>
      </c>
      <c r="AF62" s="35">
        <f t="shared" si="152"/>
        <v>2332.5744039556826</v>
      </c>
      <c r="AG62" s="35">
        <f t="shared" si="153"/>
        <v>64.534558509440544</v>
      </c>
      <c r="AH62" s="35">
        <f t="shared" si="154"/>
        <v>180.38575390590606</v>
      </c>
      <c r="AI62" s="35">
        <f t="shared" si="155"/>
        <v>366.99170622236079</v>
      </c>
      <c r="AJ62" s="35">
        <f t="shared" si="156"/>
        <v>237.92258920347962</v>
      </c>
      <c r="AK62" s="35">
        <f t="shared" si="157"/>
        <v>514.11390305892235</v>
      </c>
      <c r="AL62" s="54">
        <f t="shared" si="83"/>
        <v>112.03675383523471</v>
      </c>
      <c r="AM62" s="16">
        <f t="shared" si="22"/>
        <v>0.20441468435990665</v>
      </c>
      <c r="AN62" s="16">
        <f t="shared" si="23"/>
        <v>9.5770240916635288E-2</v>
      </c>
      <c r="AO62" s="15">
        <f t="shared" si="74"/>
        <v>5421.7513641821242</v>
      </c>
      <c r="AP62" s="15">
        <f t="shared" si="75"/>
        <v>882.48583879681985</v>
      </c>
      <c r="AQ62" s="15">
        <f t="shared" si="158"/>
        <v>871.48583879681985</v>
      </c>
      <c r="AR62" s="35">
        <f t="shared" si="159"/>
        <v>9</v>
      </c>
      <c r="AS62" s="14">
        <f t="shared" si="160"/>
        <v>2</v>
      </c>
      <c r="AT62" s="47">
        <f t="shared" si="84"/>
        <v>24.709603486310957</v>
      </c>
      <c r="AU62" s="14">
        <f t="shared" si="61"/>
        <v>135</v>
      </c>
      <c r="AV62" s="14">
        <f t="shared" si="161"/>
        <v>20</v>
      </c>
      <c r="AW62" s="14">
        <f t="shared" si="162"/>
        <v>10</v>
      </c>
      <c r="AX62" s="14">
        <f t="shared" si="163"/>
        <v>5</v>
      </c>
      <c r="AY62" s="14">
        <f t="shared" si="164"/>
        <v>7</v>
      </c>
      <c r="AZ62" s="14">
        <f t="shared" si="165"/>
        <v>13</v>
      </c>
      <c r="BA62" s="14">
        <f t="shared" si="166"/>
        <v>10</v>
      </c>
      <c r="BB62" s="14">
        <f t="shared" si="167"/>
        <v>70</v>
      </c>
      <c r="BC62" s="47">
        <f t="shared" si="85"/>
        <v>3.7800000000000002</v>
      </c>
      <c r="BD62" s="14">
        <f t="shared" si="76"/>
        <v>20.399999999999999</v>
      </c>
      <c r="BE62" s="14">
        <f t="shared" si="168"/>
        <v>11.7</v>
      </c>
      <c r="BF62" s="14">
        <f t="shared" si="169"/>
        <v>8.6999999999999993</v>
      </c>
      <c r="BG62" s="1" t="s">
        <v>48</v>
      </c>
      <c r="BH62" s="47">
        <f t="shared" si="86"/>
        <v>5.4059999999999997</v>
      </c>
      <c r="BI62" s="14">
        <f t="shared" si="77"/>
        <v>31.5</v>
      </c>
      <c r="BJ62" s="14">
        <f t="shared" si="170"/>
        <v>21.2</v>
      </c>
      <c r="BK62" s="14">
        <f t="shared" si="171"/>
        <v>10.3</v>
      </c>
      <c r="BL62" s="2">
        <f t="shared" si="87"/>
        <v>2302.9245660062761</v>
      </c>
      <c r="BM62" s="2">
        <f t="shared" si="88"/>
        <v>4136.3126369726679</v>
      </c>
      <c r="BN62" s="9">
        <f t="shared" si="89"/>
        <v>69.887887848175737</v>
      </c>
      <c r="BO62" s="9">
        <f t="shared" si="90"/>
        <v>124.1642538352347</v>
      </c>
      <c r="BP62" s="16">
        <f t="shared" si="91"/>
        <v>0.46365671363346989</v>
      </c>
      <c r="BQ62" s="17">
        <f t="shared" si="92"/>
        <v>8.7654324736952365</v>
      </c>
      <c r="BR62" s="5">
        <f t="shared" si="25"/>
        <v>-104.8735250257659</v>
      </c>
      <c r="BS62" s="5">
        <f t="shared" si="26"/>
        <v>0.37800000000000011</v>
      </c>
      <c r="BT62">
        <f t="shared" si="93"/>
        <v>8.3475000000000001</v>
      </c>
      <c r="BU62" s="5">
        <f t="shared" si="34"/>
        <v>-96.148025025765904</v>
      </c>
      <c r="BV62" s="5">
        <f t="shared" si="27"/>
        <v>-25.311963837778251</v>
      </c>
      <c r="BW62" s="5">
        <f t="shared" si="28"/>
        <v>-29.682577554315799</v>
      </c>
      <c r="BX62">
        <f t="shared" si="94"/>
        <v>5.4059999999999997</v>
      </c>
      <c r="BY62" s="5">
        <f t="shared" si="35"/>
        <v>-49.588541392094051</v>
      </c>
      <c r="BZ62" s="5">
        <f t="shared" si="36"/>
        <v>-145.73656641785996</v>
      </c>
      <c r="CA62" s="9">
        <f t="shared" si="172"/>
        <v>72.40635536172023</v>
      </c>
      <c r="CB62" s="9">
        <f t="shared" si="37"/>
        <v>5.1115598812501011</v>
      </c>
      <c r="CC62" s="16">
        <f t="shared" si="173"/>
        <v>16.810310826076268</v>
      </c>
      <c r="CD62" s="16">
        <f t="shared" si="38"/>
        <v>0.11152452467454435</v>
      </c>
      <c r="CE62" s="9">
        <f t="shared" si="39"/>
        <v>196.57060919695493</v>
      </c>
      <c r="CF62" s="9">
        <f t="shared" si="42"/>
        <v>9856.5140077992564</v>
      </c>
      <c r="CG62" s="9">
        <f t="shared" si="29"/>
        <v>13.876992354945337</v>
      </c>
      <c r="CH62" s="9">
        <f t="shared" si="30"/>
        <v>-23.741669664045673</v>
      </c>
      <c r="CI62" s="9">
        <f t="shared" si="43"/>
        <v>4531.0197053260708</v>
      </c>
      <c r="CJ62" s="9">
        <f t="shared" si="40"/>
        <v>86.698198674252012</v>
      </c>
      <c r="CK62" s="9">
        <f t="shared" si="46"/>
        <v>4295.4311343483396</v>
      </c>
      <c r="CL62" s="9">
        <f t="shared" si="31"/>
        <v>0.57518123830801438</v>
      </c>
      <c r="CM62" s="9">
        <f t="shared" si="32"/>
        <v>-32.778230566017783</v>
      </c>
      <c r="CN62" s="9">
        <f t="shared" si="47"/>
        <v>2573.9057198253677</v>
      </c>
      <c r="CO62" s="9">
        <f t="shared" si="33"/>
        <v>-56.519900230063456</v>
      </c>
      <c r="CP62" s="9">
        <f t="shared" si="44"/>
        <v>7104.9254251514385</v>
      </c>
      <c r="CR62" s="18" t="s">
        <v>83</v>
      </c>
      <c r="CS62" s="19"/>
      <c r="CT62" s="19" t="s">
        <v>127</v>
      </c>
      <c r="CU62" s="44">
        <v>-0.01</v>
      </c>
      <c r="CV62" s="58">
        <f>(AVERAGE(CC43:CC52)*10^9)/(AVERAGE(R43:R52)/CS9)</f>
        <v>0.17217509015734137</v>
      </c>
      <c r="CX62" s="18" t="s">
        <v>74</v>
      </c>
      <c r="CY62" s="36" t="s">
        <v>101</v>
      </c>
      <c r="CZ62" s="19"/>
      <c r="DA62" s="37">
        <v>1.5</v>
      </c>
      <c r="DB62" s="40">
        <f>(S37-S32)/S32</f>
        <v>2.5981951174876006E-2</v>
      </c>
    </row>
    <row r="63" spans="1:106" ht="15" thickBot="1" x14ac:dyDescent="0.35">
      <c r="CR63" s="21" t="s">
        <v>84</v>
      </c>
      <c r="CS63" s="22"/>
      <c r="CT63" s="22" t="s">
        <v>127</v>
      </c>
      <c r="CU63" s="45">
        <v>-0.02</v>
      </c>
      <c r="CV63" s="59">
        <f>(AVERAGE(CC53:CC62)*10^9)/(AVERAGE(R53:R62)/CS9)</f>
        <v>0.12957691995443599</v>
      </c>
      <c r="CX63" s="18" t="s">
        <v>82</v>
      </c>
      <c r="CY63" s="36" t="s">
        <v>101</v>
      </c>
      <c r="CZ63" s="19"/>
      <c r="DA63" s="37">
        <v>1.5</v>
      </c>
      <c r="DB63" s="40">
        <f>(S42-S38)/S38</f>
        <v>2.015709611538417E-2</v>
      </c>
    </row>
    <row r="64" spans="1:106" x14ac:dyDescent="0.3">
      <c r="CX64" s="18" t="s">
        <v>83</v>
      </c>
      <c r="CY64" s="36" t="s">
        <v>101</v>
      </c>
      <c r="CZ64" s="19"/>
      <c r="DA64" s="37">
        <v>1.5</v>
      </c>
      <c r="DB64" s="40">
        <f>(S52-S43)/S43</f>
        <v>4.4238808856915689E-2</v>
      </c>
    </row>
    <row r="65" spans="1:106" x14ac:dyDescent="0.3">
      <c r="A65" s="1" t="s">
        <v>34</v>
      </c>
      <c r="B65" s="6">
        <f>(B30-B2)/B2</f>
        <v>-1.5844919752609685E-2</v>
      </c>
      <c r="C65" s="6">
        <f t="shared" ref="C65:BQ65" si="174">(C30-C2)/C2</f>
        <v>-5.8183887845987936E-2</v>
      </c>
      <c r="D65" s="6">
        <f t="shared" si="174"/>
        <v>0.14331271279911764</v>
      </c>
      <c r="E65" s="6">
        <f t="shared" si="174"/>
        <v>-3.0457838155952759E-2</v>
      </c>
      <c r="F65" s="6"/>
      <c r="G65" s="6">
        <f t="shared" si="174"/>
        <v>0.15622101497283689</v>
      </c>
      <c r="H65" s="6">
        <f t="shared" si="174"/>
        <v>0.19712678294523972</v>
      </c>
      <c r="I65" s="6">
        <f t="shared" si="174"/>
        <v>6.551744144817849E-2</v>
      </c>
      <c r="J65" s="6">
        <f t="shared" si="174"/>
        <v>0.21675554790985721</v>
      </c>
      <c r="K65" s="6">
        <f t="shared" ref="K65" si="175">(K30-K2)/K2</f>
        <v>0.24004625332494325</v>
      </c>
      <c r="L65" s="6">
        <f t="shared" si="174"/>
        <v>4.2586677776234781E-2</v>
      </c>
      <c r="M65" s="6">
        <f t="shared" si="174"/>
        <v>-0.21807589356006929</v>
      </c>
      <c r="N65" s="6">
        <f t="shared" si="174"/>
        <v>-1.5844919752609685E-2</v>
      </c>
      <c r="O65" s="6">
        <f t="shared" si="174"/>
        <v>-7.3990053223976962E-2</v>
      </c>
      <c r="P65" s="6">
        <f t="shared" si="174"/>
        <v>-1.8782126354268243E-2</v>
      </c>
      <c r="Q65" s="6">
        <f t="shared" si="174"/>
        <v>0.18448313766873323</v>
      </c>
      <c r="R65" s="6">
        <f t="shared" si="174"/>
        <v>0.47283053865056424</v>
      </c>
      <c r="S65" s="6">
        <f t="shared" si="174"/>
        <v>0.20355334381953891</v>
      </c>
      <c r="T65" s="6">
        <f t="shared" si="174"/>
        <v>0.5638196455166582</v>
      </c>
      <c r="U65" s="6">
        <f t="shared" si="174"/>
        <v>0.20715609599299889</v>
      </c>
      <c r="V65" s="6">
        <f t="shared" si="174"/>
        <v>0.10800508259212198</v>
      </c>
      <c r="W65" s="6">
        <f t="shared" si="174"/>
        <v>-6.4516129032258063E-2</v>
      </c>
      <c r="X65" s="6">
        <f t="shared" si="174"/>
        <v>0.11916264090177134</v>
      </c>
      <c r="Y65" s="6">
        <f t="shared" si="174"/>
        <v>0.1206896551724138</v>
      </c>
      <c r="Z65" s="6">
        <f t="shared" si="174"/>
        <v>8.9622641509433956E-2</v>
      </c>
      <c r="AA65" s="6">
        <f t="shared" ref="AA65:AB65" si="176">(AA30-AA2)/AA2</f>
        <v>0.18830271266240392</v>
      </c>
      <c r="AB65" s="6">
        <f t="shared" si="176"/>
        <v>0.10800508259212194</v>
      </c>
      <c r="AC65" s="6">
        <f t="shared" si="174"/>
        <v>7.6002519420533279E-2</v>
      </c>
      <c r="AD65" s="6">
        <f t="shared" si="174"/>
        <v>-7.1428571428571425E-2</v>
      </c>
      <c r="AE65" s="6">
        <f t="shared" si="174"/>
        <v>0.12755102040816327</v>
      </c>
      <c r="AF65" s="6">
        <f t="shared" si="174"/>
        <v>3.2593619972260748E-2</v>
      </c>
      <c r="AG65" s="6">
        <f t="shared" si="174"/>
        <v>0.24637681159420291</v>
      </c>
      <c r="AH65" s="6">
        <f t="shared" si="174"/>
        <v>0.28191489361702127</v>
      </c>
      <c r="AI65" s="6">
        <f t="shared" si="174"/>
        <v>-0.17406749555950266</v>
      </c>
      <c r="AJ65" s="6">
        <f t="shared" si="174"/>
        <v>-2.9411764705882353E-2</v>
      </c>
      <c r="AK65" s="6">
        <f t="shared" si="174"/>
        <v>0.77866666666666662</v>
      </c>
      <c r="AL65" s="6">
        <f t="shared" ref="AL65" si="177">(AL30-AL2)/AL2</f>
        <v>7.6002519420533238E-2</v>
      </c>
      <c r="AM65" s="6">
        <f t="shared" ref="AM65:AN65" si="178">(AM30-AM2)/AM2</f>
        <v>6.5032198298928007E-2</v>
      </c>
      <c r="AN65" s="6">
        <f t="shared" si="178"/>
        <v>0.46181101842688149</v>
      </c>
      <c r="AO65" s="6">
        <f t="shared" si="174"/>
        <v>8.3780372357210475E-2</v>
      </c>
      <c r="AP65" s="6">
        <f t="shared" si="174"/>
        <v>1.1935483870967742</v>
      </c>
      <c r="AQ65" s="6">
        <f t="shared" si="174"/>
        <v>1.2048192771084338</v>
      </c>
      <c r="AR65" s="6">
        <f t="shared" si="174"/>
        <v>0.2857142857142857</v>
      </c>
      <c r="AS65" s="6">
        <f t="shared" si="174"/>
        <v>0</v>
      </c>
      <c r="AT65" s="6">
        <f t="shared" ref="AT65" si="179">(AT30-AT2)/AT2</f>
        <v>1.1935483870967747</v>
      </c>
      <c r="AU65" s="6">
        <f t="shared" si="174"/>
        <v>7.1428571428571425E-2</v>
      </c>
      <c r="AV65" s="6">
        <f t="shared" si="174"/>
        <v>0.42857142857142855</v>
      </c>
      <c r="AW65" s="6">
        <f t="shared" si="174"/>
        <v>0.42857142857142855</v>
      </c>
      <c r="AX65" s="6">
        <f t="shared" si="174"/>
        <v>0</v>
      </c>
      <c r="AY65" s="6">
        <f t="shared" si="174"/>
        <v>0.16666666666666666</v>
      </c>
      <c r="AZ65" s="6">
        <f t="shared" si="174"/>
        <v>8.3333333333333329E-2</v>
      </c>
      <c r="BA65" s="6">
        <f t="shared" si="174"/>
        <v>-0.16666666666666666</v>
      </c>
      <c r="BB65" s="6">
        <f t="shared" si="174"/>
        <v>1.4492753623188406E-2</v>
      </c>
      <c r="BC65" s="6">
        <f t="shared" ref="BC65" si="180">(BC30-BC2)/BC2</f>
        <v>7.1428571428571494E-2</v>
      </c>
      <c r="BD65" s="6">
        <f t="shared" si="174"/>
        <v>0.16384180790960465</v>
      </c>
      <c r="BE65" s="6">
        <f t="shared" si="174"/>
        <v>0.11320754716981142</v>
      </c>
      <c r="BF65" s="6">
        <f t="shared" si="174"/>
        <v>0.23943661971831001</v>
      </c>
      <c r="BG65" s="6" t="e">
        <f t="shared" ref="BG65:BH65" si="181">(BG30-BG2)/BG2</f>
        <v>#VALUE!</v>
      </c>
      <c r="BH65" s="6">
        <f t="shared" si="181"/>
        <v>0.16384180790960443</v>
      </c>
      <c r="BI65" s="6">
        <f t="shared" si="174"/>
        <v>0.56565656565656564</v>
      </c>
      <c r="BJ65" s="6">
        <f t="shared" si="174"/>
        <v>0.55223880597014929</v>
      </c>
      <c r="BK65" s="6">
        <f t="shared" si="174"/>
        <v>0.57812499999999989</v>
      </c>
      <c r="BL65" s="6">
        <f t="shared" si="174"/>
        <v>0.40360610263522884</v>
      </c>
      <c r="BM65" s="6">
        <f t="shared" si="174"/>
        <v>7.5884638985477607E-2</v>
      </c>
      <c r="BN65" s="6">
        <f t="shared" si="174"/>
        <v>0.38637182110046031</v>
      </c>
      <c r="BO65" s="6">
        <f t="shared" si="174"/>
        <v>9.3964358831847658E-2</v>
      </c>
      <c r="BP65" s="6">
        <f t="shared" si="174"/>
        <v>-5.8702420462654802E-2</v>
      </c>
      <c r="BQ65" s="6">
        <f t="shared" si="174"/>
        <v>-7.6420487517485508E-2</v>
      </c>
      <c r="BR65" s="6" t="e">
        <f t="shared" ref="BR65:CO65" si="182">(BR30-BR2)/BR2</f>
        <v>#DIV/0!</v>
      </c>
      <c r="BS65" s="6" t="e">
        <f t="shared" si="182"/>
        <v>#DIV/0!</v>
      </c>
      <c r="BT65" s="6">
        <f t="shared" si="182"/>
        <v>0.56565656565656564</v>
      </c>
      <c r="BU65" s="6" t="e">
        <f t="shared" si="182"/>
        <v>#DIV/0!</v>
      </c>
      <c r="BV65" s="6" t="e">
        <f t="shared" si="182"/>
        <v>#DIV/0!</v>
      </c>
      <c r="BW65" s="6" t="e">
        <f t="shared" si="182"/>
        <v>#DIV/0!</v>
      </c>
      <c r="BX65" s="6">
        <f t="shared" si="182"/>
        <v>0.16384180790960443</v>
      </c>
      <c r="BY65" s="6" t="e">
        <f t="shared" si="182"/>
        <v>#DIV/0!</v>
      </c>
      <c r="BZ65" s="6" t="e">
        <f t="shared" si="182"/>
        <v>#DIV/0!</v>
      </c>
      <c r="CA65" s="6" t="e">
        <f t="shared" si="182"/>
        <v>#DIV/0!</v>
      </c>
      <c r="CB65" s="6" t="e">
        <f t="shared" ref="CB65" si="183">(CB30-CB2)/CB2</f>
        <v>#DIV/0!</v>
      </c>
      <c r="CC65" s="6" t="e">
        <f t="shared" si="182"/>
        <v>#DIV/0!</v>
      </c>
      <c r="CD65" s="6" t="e">
        <f t="shared" ref="CD65" si="184">(CD30-CD2)/CD2</f>
        <v>#DIV/0!</v>
      </c>
      <c r="CE65" s="6" t="e">
        <f t="shared" si="182"/>
        <v>#DIV/0!</v>
      </c>
      <c r="CF65" s="6" t="e">
        <f t="shared" ref="CF65" si="185">(CF30-CF2)/CF2</f>
        <v>#DIV/0!</v>
      </c>
      <c r="CG65" s="6" t="e">
        <f t="shared" si="182"/>
        <v>#DIV/0!</v>
      </c>
      <c r="CH65" s="6" t="e">
        <f t="shared" si="182"/>
        <v>#DIV/0!</v>
      </c>
      <c r="CI65" s="6" t="e">
        <f t="shared" ref="CI65" si="186">(CI30-CI2)/CI2</f>
        <v>#DIV/0!</v>
      </c>
      <c r="CJ65" s="6" t="e">
        <f t="shared" si="182"/>
        <v>#DIV/0!</v>
      </c>
      <c r="CK65" s="6" t="e">
        <f t="shared" ref="CK65" si="187">(CK30-CK2)/CK2</f>
        <v>#DIV/0!</v>
      </c>
      <c r="CL65" s="6" t="e">
        <f t="shared" si="182"/>
        <v>#DIV/0!</v>
      </c>
      <c r="CM65" s="6" t="e">
        <f t="shared" si="182"/>
        <v>#DIV/0!</v>
      </c>
      <c r="CN65" s="6" t="e">
        <f t="shared" ref="CN65" si="188">(CN30-CN2)/CN2</f>
        <v>#DIV/0!</v>
      </c>
      <c r="CO65" s="6" t="e">
        <f t="shared" si="182"/>
        <v>#DIV/0!</v>
      </c>
      <c r="CP65" s="6" t="e">
        <f t="shared" ref="CP65" si="189">(CP30-CP2)/CP2</f>
        <v>#DIV/0!</v>
      </c>
      <c r="CX65" s="18" t="s">
        <v>84</v>
      </c>
      <c r="CY65" s="36" t="s">
        <v>101</v>
      </c>
      <c r="CZ65" s="19"/>
      <c r="DA65" s="37">
        <v>1.5</v>
      </c>
      <c r="DB65" s="40">
        <f>(S62-S53)/S53</f>
        <v>4.2166163472377928E-2</v>
      </c>
    </row>
    <row r="66" spans="1:106" x14ac:dyDescent="0.3">
      <c r="A66" s="1" t="s">
        <v>89</v>
      </c>
      <c r="B66" s="13">
        <f>B65/30</f>
        <v>-5.281639917536562E-4</v>
      </c>
      <c r="C66" s="13">
        <f>C65/30</f>
        <v>-1.9394629281995978E-3</v>
      </c>
      <c r="D66" s="13">
        <f t="shared" ref="D66:BQ66" si="190">D65/30</f>
        <v>4.7770904266372545E-3</v>
      </c>
      <c r="E66" s="13">
        <f t="shared" si="190"/>
        <v>-1.015261271865092E-3</v>
      </c>
      <c r="F66" s="13"/>
      <c r="G66" s="13">
        <f t="shared" si="190"/>
        <v>5.2073671657612295E-3</v>
      </c>
      <c r="H66" s="13">
        <f t="shared" si="190"/>
        <v>6.570892764841324E-3</v>
      </c>
      <c r="I66" s="13">
        <f t="shared" si="190"/>
        <v>2.183914714939283E-3</v>
      </c>
      <c r="J66" s="13">
        <f t="shared" si="190"/>
        <v>7.2251849303285737E-3</v>
      </c>
      <c r="K66" s="13">
        <f t="shared" ref="K66" si="191">K65/30</f>
        <v>8.0015417774981085E-3</v>
      </c>
      <c r="L66" s="13">
        <f t="shared" si="190"/>
        <v>1.4195559258744926E-3</v>
      </c>
      <c r="M66" s="13">
        <f t="shared" si="190"/>
        <v>-7.2691964520023101E-3</v>
      </c>
      <c r="N66" s="13">
        <f t="shared" si="190"/>
        <v>-5.281639917536562E-4</v>
      </c>
      <c r="O66" s="13">
        <f t="shared" si="190"/>
        <v>-2.4663351074658986E-3</v>
      </c>
      <c r="P66" s="13">
        <f t="shared" si="190"/>
        <v>-6.2607087847560807E-4</v>
      </c>
      <c r="Q66" s="13">
        <f t="shared" si="190"/>
        <v>6.1494379222911079E-3</v>
      </c>
      <c r="R66" s="13">
        <f t="shared" si="190"/>
        <v>1.5761017955018809E-2</v>
      </c>
      <c r="S66" s="13">
        <f t="shared" si="190"/>
        <v>6.7851114606512965E-3</v>
      </c>
      <c r="T66" s="13">
        <f t="shared" si="190"/>
        <v>1.8793988183888607E-2</v>
      </c>
      <c r="U66" s="13">
        <f t="shared" si="190"/>
        <v>6.9052031997666298E-3</v>
      </c>
      <c r="V66" s="13">
        <f t="shared" si="190"/>
        <v>3.6001694197373992E-3</v>
      </c>
      <c r="W66" s="13">
        <f t="shared" si="190"/>
        <v>-2.1505376344086021E-3</v>
      </c>
      <c r="X66" s="13">
        <f t="shared" si="190"/>
        <v>3.972088030059045E-3</v>
      </c>
      <c r="Y66" s="13">
        <f t="shared" si="190"/>
        <v>4.0229885057471264E-3</v>
      </c>
      <c r="Z66" s="13">
        <f t="shared" si="190"/>
        <v>2.9874213836477985E-3</v>
      </c>
      <c r="AA66" s="13">
        <f t="shared" si="190"/>
        <v>6.2767570887467972E-3</v>
      </c>
      <c r="AB66" s="13">
        <f t="shared" ref="AB66" si="192">AB65/30</f>
        <v>3.6001694197373979E-3</v>
      </c>
      <c r="AC66" s="13">
        <f t="shared" si="190"/>
        <v>2.5334173140177758E-3</v>
      </c>
      <c r="AD66" s="13">
        <f t="shared" si="190"/>
        <v>-2.3809523809523807E-3</v>
      </c>
      <c r="AE66" s="13">
        <f t="shared" si="190"/>
        <v>4.2517006802721092E-3</v>
      </c>
      <c r="AF66" s="13">
        <f t="shared" si="190"/>
        <v>1.0864539990753583E-3</v>
      </c>
      <c r="AG66" s="13">
        <f t="shared" si="190"/>
        <v>8.2125603864734303E-3</v>
      </c>
      <c r="AH66" s="13">
        <f t="shared" si="190"/>
        <v>9.3971631205673756E-3</v>
      </c>
      <c r="AI66" s="13">
        <f t="shared" si="190"/>
        <v>-5.802249851983422E-3</v>
      </c>
      <c r="AJ66" s="13">
        <f t="shared" si="190"/>
        <v>-9.8039215686274508E-4</v>
      </c>
      <c r="AK66" s="13">
        <f t="shared" si="190"/>
        <v>2.5955555555555555E-2</v>
      </c>
      <c r="AL66" s="13">
        <f t="shared" ref="AL66" si="193">AL65/30</f>
        <v>2.5334173140177745E-3</v>
      </c>
      <c r="AM66" s="13">
        <f t="shared" ref="AM66" si="194">AM65/30</f>
        <v>2.1677399432976003E-3</v>
      </c>
      <c r="AN66" s="13">
        <f t="shared" ref="AN66" si="195">AN65/30</f>
        <v>1.5393700614229382E-2</v>
      </c>
      <c r="AO66" s="13">
        <f t="shared" si="190"/>
        <v>2.7926790785736825E-3</v>
      </c>
      <c r="AP66" s="13">
        <f t="shared" si="190"/>
        <v>3.9784946236559142E-2</v>
      </c>
      <c r="AQ66" s="13">
        <f t="shared" si="190"/>
        <v>4.0160642570281131E-2</v>
      </c>
      <c r="AR66" s="13">
        <f t="shared" si="190"/>
        <v>9.5238095238095229E-3</v>
      </c>
      <c r="AS66" s="13">
        <f t="shared" si="190"/>
        <v>0</v>
      </c>
      <c r="AT66" s="13">
        <f t="shared" ref="AT66" si="196">AT65/30</f>
        <v>3.9784946236559156E-2</v>
      </c>
      <c r="AU66" s="13">
        <f t="shared" si="190"/>
        <v>2.3809523809523807E-3</v>
      </c>
      <c r="AV66" s="13">
        <f t="shared" si="190"/>
        <v>1.4285714285714285E-2</v>
      </c>
      <c r="AW66" s="13">
        <f t="shared" si="190"/>
        <v>1.4285714285714285E-2</v>
      </c>
      <c r="AX66" s="13">
        <f t="shared" si="190"/>
        <v>0</v>
      </c>
      <c r="AY66" s="13">
        <f t="shared" si="190"/>
        <v>5.5555555555555549E-3</v>
      </c>
      <c r="AZ66" s="13">
        <f t="shared" si="190"/>
        <v>2.7777777777777775E-3</v>
      </c>
      <c r="BA66" s="13">
        <f t="shared" si="190"/>
        <v>-5.5555555555555549E-3</v>
      </c>
      <c r="BB66" s="13">
        <f t="shared" si="190"/>
        <v>4.8309178743961351E-4</v>
      </c>
      <c r="BC66" s="13">
        <f t="shared" ref="BC66" si="197">BC65/30</f>
        <v>2.3809523809523833E-3</v>
      </c>
      <c r="BD66" s="13">
        <f t="shared" si="190"/>
        <v>5.4613935969868212E-3</v>
      </c>
      <c r="BE66" s="13">
        <f t="shared" si="190"/>
        <v>3.7735849056603809E-3</v>
      </c>
      <c r="BF66" s="13">
        <f t="shared" si="190"/>
        <v>7.9812206572770009E-3</v>
      </c>
      <c r="BG66" s="13" t="e">
        <f t="shared" ref="BG66:BH66" si="198">BG65/30</f>
        <v>#VALUE!</v>
      </c>
      <c r="BH66" s="13">
        <f t="shared" si="198"/>
        <v>5.4613935969868143E-3</v>
      </c>
      <c r="BI66" s="13">
        <f t="shared" si="190"/>
        <v>1.8855218855218854E-2</v>
      </c>
      <c r="BJ66" s="13">
        <f t="shared" si="190"/>
        <v>1.8407960199004977E-2</v>
      </c>
      <c r="BK66" s="13">
        <f t="shared" si="190"/>
        <v>1.9270833333333331E-2</v>
      </c>
      <c r="BL66" s="13">
        <f t="shared" si="190"/>
        <v>1.3453536754507629E-2</v>
      </c>
      <c r="BM66" s="13">
        <f t="shared" si="190"/>
        <v>2.529487966182587E-3</v>
      </c>
      <c r="BN66" s="13">
        <f t="shared" si="190"/>
        <v>1.2879060703348677E-2</v>
      </c>
      <c r="BO66" s="13">
        <f t="shared" si="190"/>
        <v>3.1321452943949219E-3</v>
      </c>
      <c r="BP66" s="13">
        <f t="shared" si="190"/>
        <v>-1.9567473487551602E-3</v>
      </c>
      <c r="BQ66" s="13">
        <f t="shared" si="190"/>
        <v>-2.5473495839161836E-3</v>
      </c>
      <c r="BR66" s="13" t="e">
        <f t="shared" ref="BR66" si="199">BR65/30</f>
        <v>#DIV/0!</v>
      </c>
      <c r="BS66" s="13" t="e">
        <f t="shared" ref="BS66" si="200">BS65/30</f>
        <v>#DIV/0!</v>
      </c>
      <c r="BT66" s="13">
        <f t="shared" ref="BT66" si="201">BT65/30</f>
        <v>1.8855218855218854E-2</v>
      </c>
      <c r="BU66" s="13" t="e">
        <f t="shared" ref="BU66" si="202">BU65/30</f>
        <v>#DIV/0!</v>
      </c>
      <c r="BV66" s="13" t="e">
        <f t="shared" ref="BV66" si="203">BV65/30</f>
        <v>#DIV/0!</v>
      </c>
      <c r="BW66" s="13" t="e">
        <f t="shared" ref="BW66" si="204">BW65/30</f>
        <v>#DIV/0!</v>
      </c>
      <c r="BX66" s="13">
        <f t="shared" ref="BX66" si="205">BX65/30</f>
        <v>5.4613935969868143E-3</v>
      </c>
      <c r="BY66" s="13" t="e">
        <f t="shared" ref="BY66" si="206">BY65/30</f>
        <v>#DIV/0!</v>
      </c>
      <c r="BZ66" s="13" t="e">
        <f t="shared" ref="BZ66" si="207">BZ65/30</f>
        <v>#DIV/0!</v>
      </c>
      <c r="CA66" s="13" t="e">
        <f t="shared" ref="CA66" si="208">CA65/30</f>
        <v>#DIV/0!</v>
      </c>
      <c r="CB66" s="13" t="e">
        <f t="shared" ref="CB66:CD66" si="209">CB65/30</f>
        <v>#DIV/0!</v>
      </c>
      <c r="CC66" s="13" t="e">
        <f t="shared" si="209"/>
        <v>#DIV/0!</v>
      </c>
      <c r="CD66" s="13" t="e">
        <f t="shared" si="209"/>
        <v>#DIV/0!</v>
      </c>
      <c r="CE66" s="13" t="e">
        <f t="shared" ref="CE66:CF66" si="210">CE65/30</f>
        <v>#DIV/0!</v>
      </c>
      <c r="CF66" s="13" t="e">
        <f t="shared" si="210"/>
        <v>#DIV/0!</v>
      </c>
      <c r="CG66" s="13" t="e">
        <f t="shared" ref="CG66" si="211">CG65/30</f>
        <v>#DIV/0!</v>
      </c>
      <c r="CH66" s="13" t="e">
        <f t="shared" ref="CH66:CI66" si="212">CH65/30</f>
        <v>#DIV/0!</v>
      </c>
      <c r="CI66" s="13" t="e">
        <f t="shared" si="212"/>
        <v>#DIV/0!</v>
      </c>
      <c r="CJ66" s="13" t="e">
        <f t="shared" ref="CJ66:CK66" si="213">CJ65/30</f>
        <v>#DIV/0!</v>
      </c>
      <c r="CK66" s="13" t="e">
        <f t="shared" si="213"/>
        <v>#DIV/0!</v>
      </c>
      <c r="CL66" s="13" t="e">
        <f t="shared" ref="CL66" si="214">CL65/30</f>
        <v>#DIV/0!</v>
      </c>
      <c r="CM66" s="13" t="e">
        <f t="shared" ref="CM66:CN66" si="215">CM65/30</f>
        <v>#DIV/0!</v>
      </c>
      <c r="CN66" s="13" t="e">
        <f t="shared" si="215"/>
        <v>#DIV/0!</v>
      </c>
      <c r="CO66" s="13" t="e">
        <f t="shared" ref="CO66:CP66" si="216">CO65/30</f>
        <v>#DIV/0!</v>
      </c>
      <c r="CP66" s="13" t="e">
        <f t="shared" si="216"/>
        <v>#DIV/0!</v>
      </c>
      <c r="CX66" s="24" t="s">
        <v>73</v>
      </c>
      <c r="CY66" s="25" t="s">
        <v>72</v>
      </c>
      <c r="CZ66" s="25" t="s">
        <v>76</v>
      </c>
      <c r="DA66" s="25" t="s">
        <v>88</v>
      </c>
      <c r="DB66" s="26" t="s">
        <v>87</v>
      </c>
    </row>
    <row r="67" spans="1:106" x14ac:dyDescent="0.3">
      <c r="CX67" s="18" t="s">
        <v>74</v>
      </c>
      <c r="CY67" s="19" t="s">
        <v>102</v>
      </c>
      <c r="CZ67" s="19"/>
      <c r="DA67" s="20">
        <v>0</v>
      </c>
      <c r="DB67" s="40">
        <f>(P37-P32)/P32</f>
        <v>-2.7216871200638863E-3</v>
      </c>
    </row>
    <row r="68" spans="1:106" x14ac:dyDescent="0.3">
      <c r="A68" s="1" t="s">
        <v>90</v>
      </c>
      <c r="B68" s="11">
        <f>(B62-B32)/B32</f>
        <v>-2.1195543818161851E-3</v>
      </c>
      <c r="C68" s="11">
        <f t="shared" ref="C68:BW68" si="217">(C62-C32)/C32</f>
        <v>1.0468178023248346E-2</v>
      </c>
      <c r="D68" s="6">
        <f t="shared" si="217"/>
        <v>-1.697267292912041E-2</v>
      </c>
      <c r="E68" s="6">
        <f t="shared" si="217"/>
        <v>-2.4157734685867397E-3</v>
      </c>
      <c r="F68" s="6"/>
      <c r="G68" s="6">
        <f t="shared" si="217"/>
        <v>-1</v>
      </c>
      <c r="H68" s="6">
        <f t="shared" si="217"/>
        <v>-1</v>
      </c>
      <c r="I68" s="6">
        <f t="shared" si="217"/>
        <v>-1</v>
      </c>
      <c r="J68" s="11">
        <f t="shared" si="217"/>
        <v>3.3907093200159738E-3</v>
      </c>
      <c r="K68" s="11">
        <f t="shared" ref="K68" si="218">(K62-K32)/K32</f>
        <v>6.1290778723830158E-3</v>
      </c>
      <c r="L68" s="6">
        <f t="shared" si="217"/>
        <v>-1</v>
      </c>
      <c r="M68" s="6">
        <f t="shared" si="217"/>
        <v>-1</v>
      </c>
      <c r="N68" s="6">
        <f t="shared" si="217"/>
        <v>-1</v>
      </c>
      <c r="O68" s="6">
        <f t="shared" si="217"/>
        <v>-1</v>
      </c>
      <c r="P68" s="11">
        <f>(P62-P32)/P32</f>
        <v>-2.7216871200638863E-3</v>
      </c>
      <c r="Q68" s="6">
        <f t="shared" si="217"/>
        <v>0.15344173171667472</v>
      </c>
      <c r="R68" s="6">
        <f>(R62-R32)/R32</f>
        <v>0.48869593309044895</v>
      </c>
      <c r="S68" s="6">
        <f t="shared" si="217"/>
        <v>0.15589170704925603</v>
      </c>
      <c r="T68" s="6">
        <f>(T62-T32)/T32</f>
        <v>0.4732734443975708</v>
      </c>
      <c r="U68" s="6">
        <f t="shared" si="217"/>
        <v>0.15658960675257294</v>
      </c>
      <c r="V68" s="6">
        <f t="shared" si="217"/>
        <v>-0.17846227460413167</v>
      </c>
      <c r="W68" s="6">
        <f t="shared" si="217"/>
        <v>0</v>
      </c>
      <c r="X68" s="6">
        <f t="shared" si="217"/>
        <v>-0.22375726815847979</v>
      </c>
      <c r="Y68" s="6">
        <f t="shared" si="217"/>
        <v>0</v>
      </c>
      <c r="Z68" s="6">
        <f t="shared" si="217"/>
        <v>0</v>
      </c>
      <c r="AA68" s="6">
        <f t="shared" ref="AA68:AB68" si="219">(AA62-AA32)/AA32</f>
        <v>-0.23179893367838358</v>
      </c>
      <c r="AB68" s="6">
        <f t="shared" si="219"/>
        <v>-0.17846227460413178</v>
      </c>
      <c r="AC68" s="6">
        <f t="shared" si="217"/>
        <v>-0.22500239454335311</v>
      </c>
      <c r="AD68" s="6">
        <f t="shared" si="217"/>
        <v>-0.22247519868143875</v>
      </c>
      <c r="AE68" s="6">
        <f t="shared" si="217"/>
        <v>-0.22247519868143922</v>
      </c>
      <c r="AF68" s="6">
        <f t="shared" si="217"/>
        <v>-0.22247519868143914</v>
      </c>
      <c r="AG68" s="6">
        <f t="shared" si="217"/>
        <v>-0.22247519868143922</v>
      </c>
      <c r="AH68" s="6">
        <f t="shared" si="217"/>
        <v>-0.22247519868143942</v>
      </c>
      <c r="AI68" s="6">
        <f t="shared" si="217"/>
        <v>-0.222475198681439</v>
      </c>
      <c r="AJ68" s="6">
        <f t="shared" si="217"/>
        <v>-0.22247519868143917</v>
      </c>
      <c r="AK68" s="6">
        <f t="shared" si="217"/>
        <v>-0.2417199069927399</v>
      </c>
      <c r="AL68" s="6">
        <f t="shared" ref="AL68" si="220">(AL62-AL32)/AL32</f>
        <v>-0.22500239454335319</v>
      </c>
      <c r="AM68" s="6">
        <f t="shared" ref="AM68:AN68" si="221">(AM62-AM32)/AM32</f>
        <v>-0.22059232630210679</v>
      </c>
      <c r="AN68" s="6">
        <f t="shared" si="221"/>
        <v>-0.24428232595343027</v>
      </c>
      <c r="AO68" s="6">
        <f t="shared" si="217"/>
        <v>-0.21332684791321471</v>
      </c>
      <c r="AP68" s="6">
        <f t="shared" si="217"/>
        <v>-0.30835331463036886</v>
      </c>
      <c r="AQ68" s="6">
        <f t="shared" si="217"/>
        <v>-0.3110348173822694</v>
      </c>
      <c r="AR68" s="6">
        <f t="shared" si="217"/>
        <v>0</v>
      </c>
      <c r="AS68" s="6">
        <f t="shared" si="217"/>
        <v>0</v>
      </c>
      <c r="AT68" s="6">
        <f t="shared" ref="AT68" si="222">(AT62-AT32)/AT32</f>
        <v>-0.30835331463036891</v>
      </c>
      <c r="AU68" s="6">
        <f t="shared" si="217"/>
        <v>0</v>
      </c>
      <c r="AV68" s="6">
        <f t="shared" si="217"/>
        <v>0</v>
      </c>
      <c r="AW68" s="6">
        <f t="shared" si="217"/>
        <v>0</v>
      </c>
      <c r="AX68" s="6">
        <f t="shared" si="217"/>
        <v>0</v>
      </c>
      <c r="AY68" s="6">
        <f t="shared" si="217"/>
        <v>0</v>
      </c>
      <c r="AZ68" s="6">
        <f t="shared" si="217"/>
        <v>0</v>
      </c>
      <c r="BA68" s="6">
        <f t="shared" si="217"/>
        <v>0</v>
      </c>
      <c r="BB68" s="6">
        <f t="shared" si="217"/>
        <v>0</v>
      </c>
      <c r="BC68" s="6">
        <f t="shared" ref="BC68" si="223">(BC62-BC32)/BC32</f>
        <v>0</v>
      </c>
      <c r="BD68" s="6">
        <f t="shared" si="217"/>
        <v>0</v>
      </c>
      <c r="BE68" s="6">
        <f t="shared" si="217"/>
        <v>0</v>
      </c>
      <c r="BF68" s="6">
        <f t="shared" si="217"/>
        <v>0</v>
      </c>
      <c r="BG68" s="6" t="e">
        <f t="shared" ref="BG68:BH68" si="224">(BG62-BG32)/BG32</f>
        <v>#VALUE!</v>
      </c>
      <c r="BH68" s="6">
        <f t="shared" si="224"/>
        <v>0</v>
      </c>
      <c r="BI68" s="6">
        <f t="shared" si="217"/>
        <v>0</v>
      </c>
      <c r="BJ68" s="6">
        <f t="shared" si="217"/>
        <v>0</v>
      </c>
      <c r="BK68" s="6">
        <f t="shared" si="217"/>
        <v>0</v>
      </c>
      <c r="BL68" s="6">
        <f t="shared" si="217"/>
        <v>-0.23361534882583362</v>
      </c>
      <c r="BM68" s="6">
        <f t="shared" si="217"/>
        <v>-0.21926903794400379</v>
      </c>
      <c r="BN68" s="6">
        <f t="shared" si="217"/>
        <v>-0.21951135569719518</v>
      </c>
      <c r="BO68" s="6">
        <f t="shared" si="217"/>
        <v>-0.20758781532351972</v>
      </c>
      <c r="BP68" s="6">
        <f t="shared" si="217"/>
        <v>-0.47572326426488298</v>
      </c>
      <c r="BQ68" s="6">
        <f t="shared" si="217"/>
        <v>-0.3130019810388443</v>
      </c>
      <c r="BR68" s="6">
        <f t="shared" si="217"/>
        <v>-3.0346044775268988</v>
      </c>
      <c r="BS68" s="6">
        <f t="shared" si="217"/>
        <v>-0.55737704918032827</v>
      </c>
      <c r="BT68" s="6">
        <f t="shared" ref="BT68" si="225">(BT62-BT32)/BT32</f>
        <v>0</v>
      </c>
      <c r="BU68" s="6">
        <f t="shared" si="217"/>
        <v>-2.5827768126214816</v>
      </c>
      <c r="BV68" s="6">
        <f t="shared" si="217"/>
        <v>-1.6566799178364982</v>
      </c>
      <c r="BW68" s="6">
        <f t="shared" si="217"/>
        <v>-1.4919979562097088</v>
      </c>
      <c r="BX68" s="6">
        <f t="shared" ref="BX68:CO68" si="226">(BX62-BX32)/BX32</f>
        <v>0</v>
      </c>
      <c r="BY68" s="6">
        <f t="shared" si="226"/>
        <v>-1.475523256980745</v>
      </c>
      <c r="BZ68" s="6">
        <f t="shared" si="226"/>
        <v>-1.8830995278886193</v>
      </c>
      <c r="CA68" s="6">
        <f t="shared" si="226"/>
        <v>-0.28835192312382851</v>
      </c>
      <c r="CB68" s="6">
        <f t="shared" ref="CB68" si="227">(CB62-CB32)/CB32</f>
        <v>-0.38302208312073022</v>
      </c>
      <c r="CC68" s="6">
        <f t="shared" si="226"/>
        <v>-0.28835192312382812</v>
      </c>
      <c r="CD68" s="6">
        <f t="shared" ref="CD68" si="228">(CD62-CD32)/CD32</f>
        <v>-0.5219654591258065</v>
      </c>
      <c r="CE68" s="6">
        <f t="shared" si="226"/>
        <v>-0.23938411733230758</v>
      </c>
      <c r="CF68" s="6">
        <f t="shared" ref="CF68" si="229">(CF62-CF32)/CF32</f>
        <v>2.5762279197679989</v>
      </c>
      <c r="CG68" s="6">
        <f t="shared" si="226"/>
        <v>-0.34056843813370363</v>
      </c>
      <c r="CH68" s="6">
        <f t="shared" si="226"/>
        <v>-1.1461106487115218</v>
      </c>
      <c r="CI68" s="6">
        <f t="shared" ref="CI68" si="230">(CI62-CI32)/CI32</f>
        <v>2.3401534583321184</v>
      </c>
      <c r="CJ68" s="6">
        <f t="shared" si="226"/>
        <v>-0.23388083910030019</v>
      </c>
      <c r="CK68" s="6">
        <f t="shared" ref="CK68" si="231">(CK62-CK32)/CK32</f>
        <v>2.53307615267817</v>
      </c>
      <c r="CL68" s="6">
        <f t="shared" si="226"/>
        <v>-0.48537566075747945</v>
      </c>
      <c r="CM68" s="6">
        <f t="shared" si="226"/>
        <v>-1.2562727004481524</v>
      </c>
      <c r="CN68" s="6">
        <f t="shared" ref="CN68" si="232">(CN62-CN32)/CN32</f>
        <v>0.71367554907303665</v>
      </c>
      <c r="CO68" s="6">
        <f t="shared" si="226"/>
        <v>-1.1946312779175718</v>
      </c>
      <c r="CP68" s="6">
        <f t="shared" ref="CP68" si="233">(CP62-CP32)/CP32</f>
        <v>1.485534568839062</v>
      </c>
      <c r="CX68" s="18" t="s">
        <v>82</v>
      </c>
      <c r="CY68" s="19" t="s">
        <v>102</v>
      </c>
      <c r="CZ68" s="19"/>
      <c r="DA68" s="20">
        <v>0</v>
      </c>
      <c r="DB68" s="40">
        <f>(P42-P38)/P38</f>
        <v>0</v>
      </c>
    </row>
    <row r="69" spans="1:106" x14ac:dyDescent="0.3">
      <c r="A69" s="1" t="s">
        <v>151</v>
      </c>
      <c r="B69" s="11">
        <f>B68/31</f>
        <v>-6.8372721994070488E-5</v>
      </c>
      <c r="C69" s="11">
        <f t="shared" ref="C69:BW69" si="234">C68/31</f>
        <v>3.376831620402692E-4</v>
      </c>
      <c r="D69" s="11">
        <f t="shared" si="234"/>
        <v>-5.4750557835872289E-4</v>
      </c>
      <c r="E69" s="11">
        <f t="shared" si="234"/>
        <v>-7.7928176406023866E-5</v>
      </c>
      <c r="F69" s="11"/>
      <c r="G69" s="11">
        <f t="shared" si="234"/>
        <v>-3.2258064516129031E-2</v>
      </c>
      <c r="H69" s="11">
        <f t="shared" si="234"/>
        <v>-3.2258064516129031E-2</v>
      </c>
      <c r="I69" s="11">
        <f t="shared" si="234"/>
        <v>-3.2258064516129031E-2</v>
      </c>
      <c r="J69" s="11">
        <f t="shared" si="234"/>
        <v>1.0937772000051528E-4</v>
      </c>
      <c r="K69" s="11">
        <f t="shared" ref="K69" si="235">K68/31</f>
        <v>1.9771218943171018E-4</v>
      </c>
      <c r="L69" s="11">
        <f t="shared" si="234"/>
        <v>-3.2258064516129031E-2</v>
      </c>
      <c r="M69" s="11">
        <f t="shared" si="234"/>
        <v>-3.2258064516129031E-2</v>
      </c>
      <c r="N69" s="11">
        <f t="shared" si="234"/>
        <v>-3.2258064516129031E-2</v>
      </c>
      <c r="O69" s="11">
        <f t="shared" si="234"/>
        <v>-3.2258064516129031E-2</v>
      </c>
      <c r="P69" s="11">
        <f t="shared" si="234"/>
        <v>-8.7796358711738262E-5</v>
      </c>
      <c r="Q69" s="11">
        <f t="shared" si="234"/>
        <v>4.9497332811830556E-3</v>
      </c>
      <c r="R69" s="11">
        <f t="shared" si="234"/>
        <v>1.5764384938401578E-2</v>
      </c>
      <c r="S69" s="11">
        <f t="shared" si="234"/>
        <v>5.0287647435243886E-3</v>
      </c>
      <c r="T69" s="11">
        <f t="shared" si="234"/>
        <v>1.5266885303147446E-2</v>
      </c>
      <c r="U69" s="11">
        <f t="shared" si="234"/>
        <v>5.0512776371797723E-3</v>
      </c>
      <c r="V69" s="11">
        <f t="shared" si="234"/>
        <v>-5.7568475678752154E-3</v>
      </c>
      <c r="W69" s="11">
        <f t="shared" si="234"/>
        <v>0</v>
      </c>
      <c r="X69" s="11">
        <f t="shared" si="234"/>
        <v>-7.2179763922090258E-3</v>
      </c>
      <c r="Y69" s="11">
        <f t="shared" si="234"/>
        <v>0</v>
      </c>
      <c r="Z69" s="11">
        <f t="shared" si="234"/>
        <v>0</v>
      </c>
      <c r="AA69" s="11">
        <f t="shared" si="234"/>
        <v>-7.4773849573672125E-3</v>
      </c>
      <c r="AB69" s="11">
        <f t="shared" ref="AB69" si="236">AB68/31</f>
        <v>-5.7568475678752189E-3</v>
      </c>
      <c r="AC69" s="11">
        <f t="shared" si="234"/>
        <v>-7.2581417594630038E-3</v>
      </c>
      <c r="AD69" s="11">
        <f t="shared" si="234"/>
        <v>-7.1766193123044761E-3</v>
      </c>
      <c r="AE69" s="11">
        <f t="shared" si="234"/>
        <v>-7.1766193123044908E-3</v>
      </c>
      <c r="AF69" s="11">
        <f t="shared" si="234"/>
        <v>-7.1766193123044882E-3</v>
      </c>
      <c r="AG69" s="11">
        <f t="shared" si="234"/>
        <v>-7.1766193123044908E-3</v>
      </c>
      <c r="AH69" s="11">
        <f t="shared" si="234"/>
        <v>-7.1766193123044978E-3</v>
      </c>
      <c r="AI69" s="11">
        <f t="shared" si="234"/>
        <v>-7.1766193123044839E-3</v>
      </c>
      <c r="AJ69" s="11">
        <f t="shared" si="234"/>
        <v>-7.1766193123044891E-3</v>
      </c>
      <c r="AK69" s="11">
        <f t="shared" si="234"/>
        <v>-7.797416354604513E-3</v>
      </c>
      <c r="AL69" s="11">
        <f t="shared" ref="AL69" si="237">AL68/31</f>
        <v>-7.2581417594630064E-3</v>
      </c>
      <c r="AM69" s="11">
        <f t="shared" ref="AM69" si="238">AM68/31</f>
        <v>-7.1158814936163484E-3</v>
      </c>
      <c r="AN69" s="11">
        <f t="shared" ref="AN69" si="239">AN68/31</f>
        <v>-7.8800750307558148E-3</v>
      </c>
      <c r="AO69" s="11">
        <f t="shared" si="234"/>
        <v>-6.8815112230069262E-3</v>
      </c>
      <c r="AP69" s="11">
        <f t="shared" si="234"/>
        <v>-9.9468811171086729E-3</v>
      </c>
      <c r="AQ69" s="11">
        <f t="shared" si="234"/>
        <v>-1.0033381205879658E-2</v>
      </c>
      <c r="AR69" s="11">
        <f t="shared" si="234"/>
        <v>0</v>
      </c>
      <c r="AS69" s="11">
        <f t="shared" si="234"/>
        <v>0</v>
      </c>
      <c r="AT69" s="11">
        <f t="shared" ref="AT69" si="240">AT68/31</f>
        <v>-9.9468811171086746E-3</v>
      </c>
      <c r="AU69" s="11">
        <f t="shared" si="234"/>
        <v>0</v>
      </c>
      <c r="AV69" s="11">
        <f t="shared" si="234"/>
        <v>0</v>
      </c>
      <c r="AW69" s="11">
        <f t="shared" si="234"/>
        <v>0</v>
      </c>
      <c r="AX69" s="11">
        <f t="shared" si="234"/>
        <v>0</v>
      </c>
      <c r="AY69" s="11">
        <f t="shared" si="234"/>
        <v>0</v>
      </c>
      <c r="AZ69" s="11">
        <f t="shared" si="234"/>
        <v>0</v>
      </c>
      <c r="BA69" s="11">
        <f t="shared" si="234"/>
        <v>0</v>
      </c>
      <c r="BB69" s="11">
        <f t="shared" si="234"/>
        <v>0</v>
      </c>
      <c r="BC69" s="11">
        <f t="shared" ref="BC69" si="241">BC68/31</f>
        <v>0</v>
      </c>
      <c r="BD69" s="11">
        <f t="shared" si="234"/>
        <v>0</v>
      </c>
      <c r="BE69" s="11">
        <f t="shared" si="234"/>
        <v>0</v>
      </c>
      <c r="BF69" s="11">
        <f t="shared" si="234"/>
        <v>0</v>
      </c>
      <c r="BG69" s="11" t="e">
        <f t="shared" ref="BG69:BH69" si="242">BG68/31</f>
        <v>#VALUE!</v>
      </c>
      <c r="BH69" s="11">
        <f t="shared" si="242"/>
        <v>0</v>
      </c>
      <c r="BI69" s="11">
        <f t="shared" si="234"/>
        <v>0</v>
      </c>
      <c r="BJ69" s="11">
        <f t="shared" si="234"/>
        <v>0</v>
      </c>
      <c r="BK69" s="11">
        <f t="shared" si="234"/>
        <v>0</v>
      </c>
      <c r="BL69" s="11">
        <f t="shared" si="234"/>
        <v>-7.5359789943817302E-3</v>
      </c>
      <c r="BM69" s="11">
        <f t="shared" si="234"/>
        <v>-7.0731947723872189E-3</v>
      </c>
      <c r="BN69" s="11">
        <f t="shared" si="234"/>
        <v>-7.0810114741030701E-3</v>
      </c>
      <c r="BO69" s="11">
        <f t="shared" si="234"/>
        <v>-6.6963811394683782E-3</v>
      </c>
      <c r="BP69" s="11">
        <f t="shared" si="234"/>
        <v>-1.5345911750480097E-2</v>
      </c>
      <c r="BQ69" s="11">
        <f t="shared" si="234"/>
        <v>-1.0096838098027236E-2</v>
      </c>
      <c r="BR69" s="11">
        <f t="shared" si="234"/>
        <v>-9.7890467016996732E-2</v>
      </c>
      <c r="BS69" s="11">
        <f t="shared" si="234"/>
        <v>-1.7979904812268653E-2</v>
      </c>
      <c r="BT69" s="11">
        <f t="shared" si="234"/>
        <v>0</v>
      </c>
      <c r="BU69" s="11">
        <f t="shared" si="234"/>
        <v>-8.3315381052305862E-2</v>
      </c>
      <c r="BV69" s="11">
        <f t="shared" si="234"/>
        <v>-5.3441287672145101E-2</v>
      </c>
      <c r="BW69" s="11">
        <f t="shared" si="234"/>
        <v>-4.8128966329345442E-2</v>
      </c>
      <c r="BX69" s="11">
        <f t="shared" ref="BX69" si="243">BX68/31</f>
        <v>0</v>
      </c>
      <c r="BY69" s="11">
        <f t="shared" ref="BY69" si="244">BY68/31</f>
        <v>-4.759752441873371E-2</v>
      </c>
      <c r="BZ69" s="11">
        <f t="shared" ref="BZ69" si="245">BZ68/31</f>
        <v>-6.0745146060923204E-2</v>
      </c>
      <c r="CA69" s="11">
        <f t="shared" ref="CA69" si="246">CA68/31</f>
        <v>-9.30167493947834E-3</v>
      </c>
      <c r="CB69" s="11">
        <f t="shared" ref="CB69:CD69" si="247">CB68/31</f>
        <v>-1.2355551068410651E-2</v>
      </c>
      <c r="CC69" s="11">
        <f t="shared" si="247"/>
        <v>-9.3016749394783261E-3</v>
      </c>
      <c r="CD69" s="11">
        <f t="shared" si="247"/>
        <v>-1.6837595455671178E-2</v>
      </c>
      <c r="CE69" s="11">
        <f t="shared" ref="CE69:CF69" si="248">CE68/31</f>
        <v>-7.7220683010421802E-3</v>
      </c>
      <c r="CF69" s="11">
        <f t="shared" si="248"/>
        <v>8.3104126444128998E-2</v>
      </c>
      <c r="CG69" s="11">
        <f t="shared" ref="CG69" si="249">CG68/31</f>
        <v>-1.0986078649474311E-2</v>
      </c>
      <c r="CH69" s="11">
        <f t="shared" ref="CH69:CI69" si="250">CH68/31</f>
        <v>-3.697131124875877E-2</v>
      </c>
      <c r="CI69" s="11">
        <f t="shared" si="250"/>
        <v>7.5488821236519954E-2</v>
      </c>
      <c r="CJ69" s="11">
        <f t="shared" ref="CJ69:CK69" si="251">CJ68/31</f>
        <v>-7.5445431967838773E-3</v>
      </c>
      <c r="CK69" s="11">
        <f t="shared" si="251"/>
        <v>8.1712133957360322E-2</v>
      </c>
      <c r="CL69" s="11">
        <f t="shared" ref="CL69" si="252">CL68/31</f>
        <v>-1.5657279379273532E-2</v>
      </c>
      <c r="CM69" s="11">
        <f t="shared" ref="CM69:CN69" si="253">CM68/31</f>
        <v>-4.0524925820908143E-2</v>
      </c>
      <c r="CN69" s="11">
        <f t="shared" si="253"/>
        <v>2.3021791905581828E-2</v>
      </c>
      <c r="CO69" s="11">
        <f t="shared" ref="CO69:CP69" si="254">CO68/31</f>
        <v>-3.8536492836050706E-2</v>
      </c>
      <c r="CP69" s="11">
        <f t="shared" si="254"/>
        <v>4.7920469962550387E-2</v>
      </c>
      <c r="CX69" s="18" t="s">
        <v>83</v>
      </c>
      <c r="CY69" s="19" t="s">
        <v>102</v>
      </c>
      <c r="CZ69" s="19"/>
      <c r="DA69" s="20">
        <v>0</v>
      </c>
      <c r="DB69" s="40">
        <f>(P52-P43)/P43</f>
        <v>0</v>
      </c>
    </row>
    <row r="70" spans="1:106" x14ac:dyDescent="0.3">
      <c r="CX70" s="18" t="s">
        <v>84</v>
      </c>
      <c r="CY70" s="19" t="s">
        <v>102</v>
      </c>
      <c r="CZ70" s="19"/>
      <c r="DA70" s="20">
        <v>0</v>
      </c>
      <c r="DB70" s="40">
        <f>(P62-P53)/P53</f>
        <v>0</v>
      </c>
    </row>
    <row r="71" spans="1:106" x14ac:dyDescent="0.3">
      <c r="R71" s="2"/>
      <c r="CX71" s="24" t="s">
        <v>73</v>
      </c>
      <c r="CY71" s="19"/>
      <c r="CZ71" s="25" t="s">
        <v>76</v>
      </c>
      <c r="DA71" s="25" t="s">
        <v>88</v>
      </c>
      <c r="DB71" s="46" t="s">
        <v>148</v>
      </c>
    </row>
    <row r="72" spans="1:106" x14ac:dyDescent="0.3">
      <c r="AL72" s="1">
        <f>AVERAGE(AL25:AL29)</f>
        <v>134.82</v>
      </c>
      <c r="AM72" s="1">
        <f t="shared" ref="AM72:BO72" si="255">AVERAGE(AM25:AM29)</f>
        <v>0.25963251655764313</v>
      </c>
      <c r="AN72" s="1">
        <f t="shared" si="255"/>
        <v>0.12058499895470667</v>
      </c>
      <c r="AO72" s="1">
        <f t="shared" si="255"/>
        <v>6515.2</v>
      </c>
      <c r="AP72" s="1">
        <f t="shared" si="255"/>
        <v>1223.8</v>
      </c>
      <c r="AQ72" s="1">
        <f t="shared" si="255"/>
        <v>1213.2</v>
      </c>
      <c r="AR72" s="1">
        <f t="shared" si="255"/>
        <v>8.6</v>
      </c>
      <c r="AS72" s="1">
        <f t="shared" si="255"/>
        <v>2</v>
      </c>
      <c r="AT72" s="1">
        <f t="shared" si="255"/>
        <v>34.266399999999997</v>
      </c>
      <c r="AU72" s="1">
        <f t="shared" si="255"/>
        <v>127.2</v>
      </c>
      <c r="AV72" s="1">
        <f t="shared" si="255"/>
        <v>16.600000000000001</v>
      </c>
      <c r="AW72" s="1">
        <f t="shared" si="255"/>
        <v>9</v>
      </c>
      <c r="AX72" s="1">
        <f t="shared" si="255"/>
        <v>5</v>
      </c>
      <c r="AY72" s="1">
        <f t="shared" si="255"/>
        <v>6.6</v>
      </c>
      <c r="AZ72" s="1">
        <f t="shared" si="255"/>
        <v>13</v>
      </c>
      <c r="BA72" s="1">
        <f t="shared" si="255"/>
        <v>9.4</v>
      </c>
      <c r="BB72" s="1">
        <f t="shared" si="255"/>
        <v>67</v>
      </c>
      <c r="BC72" s="1">
        <f t="shared" si="255"/>
        <v>3.5615999999999999</v>
      </c>
      <c r="BD72" s="1">
        <f t="shared" si="255"/>
        <v>19.96</v>
      </c>
      <c r="BE72" s="1">
        <f t="shared" si="255"/>
        <v>11.36</v>
      </c>
      <c r="BF72" s="1">
        <f t="shared" si="255"/>
        <v>8.6</v>
      </c>
      <c r="BG72" s="1" t="e">
        <f t="shared" si="255"/>
        <v>#DIV/0!</v>
      </c>
      <c r="BH72" s="1">
        <f t="shared" si="255"/>
        <v>5.2893999999999997</v>
      </c>
      <c r="BI72" s="1">
        <f t="shared" si="255"/>
        <v>26.74</v>
      </c>
      <c r="BJ72" s="1">
        <f t="shared" si="255"/>
        <v>17.86</v>
      </c>
      <c r="BK72" s="1">
        <f t="shared" si="255"/>
        <v>8.9</v>
      </c>
      <c r="BL72" s="1">
        <f t="shared" si="255"/>
        <v>2924</v>
      </c>
      <c r="BM72" s="1">
        <f t="shared" si="255"/>
        <v>4942.2</v>
      </c>
      <c r="BN72" s="1">
        <f t="shared" si="255"/>
        <v>87.161399999999986</v>
      </c>
      <c r="BO72" s="1">
        <f t="shared" si="255"/>
        <v>145.46769999999998</v>
      </c>
      <c r="CX72" s="18" t="s">
        <v>74</v>
      </c>
      <c r="CY72" s="19"/>
      <c r="CZ72" s="19" t="s">
        <v>127</v>
      </c>
      <c r="DA72" s="20">
        <v>0</v>
      </c>
      <c r="DB72" s="60">
        <f>(AVERAGE(CA32:CA37)*10^9)/(AVERAGE(Q32:Q37)/CS9)</f>
        <v>8.1930951426872074</v>
      </c>
    </row>
    <row r="73" spans="1:106" x14ac:dyDescent="0.3">
      <c r="AL73" s="1">
        <f>AL72*0.6</f>
        <v>80.891999999999996</v>
      </c>
      <c r="AM73" s="1">
        <f t="shared" ref="AM73:BO73" si="256">AM72*0.6</f>
        <v>0.15577950993458586</v>
      </c>
      <c r="AN73" s="1">
        <f t="shared" si="256"/>
        <v>7.2350999372824007E-2</v>
      </c>
      <c r="AO73" s="1">
        <f t="shared" si="256"/>
        <v>3909.12</v>
      </c>
      <c r="AP73" s="1">
        <f t="shared" si="256"/>
        <v>734.28</v>
      </c>
      <c r="AQ73" s="1">
        <f t="shared" si="256"/>
        <v>727.92</v>
      </c>
      <c r="AR73" s="1">
        <f t="shared" si="256"/>
        <v>5.1599999999999993</v>
      </c>
      <c r="AS73" s="1">
        <f t="shared" si="256"/>
        <v>1.2</v>
      </c>
      <c r="AT73" s="1">
        <f t="shared" si="256"/>
        <v>20.559839999999998</v>
      </c>
      <c r="AU73" s="1">
        <f t="shared" si="256"/>
        <v>76.319999999999993</v>
      </c>
      <c r="AV73" s="1">
        <f t="shared" si="256"/>
        <v>9.9600000000000009</v>
      </c>
      <c r="AW73" s="1">
        <f t="shared" si="256"/>
        <v>5.3999999999999995</v>
      </c>
      <c r="AX73" s="1">
        <f t="shared" si="256"/>
        <v>3</v>
      </c>
      <c r="AY73" s="1">
        <f t="shared" si="256"/>
        <v>3.9599999999999995</v>
      </c>
      <c r="AZ73" s="1">
        <f t="shared" si="256"/>
        <v>7.8</v>
      </c>
      <c r="BA73" s="1">
        <f t="shared" si="256"/>
        <v>5.64</v>
      </c>
      <c r="BB73" s="1">
        <f t="shared" si="256"/>
        <v>40.199999999999996</v>
      </c>
      <c r="BC73" s="1">
        <f t="shared" si="256"/>
        <v>2.1369599999999997</v>
      </c>
      <c r="BD73" s="1">
        <f t="shared" si="256"/>
        <v>11.976000000000001</v>
      </c>
      <c r="BE73" s="1">
        <f t="shared" si="256"/>
        <v>6.8159999999999998</v>
      </c>
      <c r="BF73" s="1">
        <f t="shared" si="256"/>
        <v>5.1599999999999993</v>
      </c>
      <c r="BG73" s="1" t="e">
        <f t="shared" si="256"/>
        <v>#DIV/0!</v>
      </c>
      <c r="BH73" s="1">
        <f t="shared" si="256"/>
        <v>3.1736399999999998</v>
      </c>
      <c r="BI73" s="1">
        <f t="shared" si="256"/>
        <v>16.043999999999997</v>
      </c>
      <c r="BJ73" s="1">
        <f t="shared" si="256"/>
        <v>10.715999999999999</v>
      </c>
      <c r="BK73" s="1">
        <f t="shared" si="256"/>
        <v>5.34</v>
      </c>
      <c r="BL73" s="1">
        <f t="shared" si="256"/>
        <v>1754.3999999999999</v>
      </c>
      <c r="BM73" s="1">
        <f t="shared" si="256"/>
        <v>2965.3199999999997</v>
      </c>
      <c r="BN73" s="1">
        <f t="shared" si="256"/>
        <v>52.296839999999989</v>
      </c>
      <c r="BO73" s="1">
        <f t="shared" si="256"/>
        <v>87.280619999999985</v>
      </c>
      <c r="CX73" s="18" t="s">
        <v>82</v>
      </c>
      <c r="CY73" s="19"/>
      <c r="CZ73" s="19" t="s">
        <v>127</v>
      </c>
      <c r="DA73" s="20">
        <v>-7.4999999999999997E-3</v>
      </c>
      <c r="DB73" s="60">
        <f>(AVERAGE(CA38:CA42)*10^9)/(AVERAGE(Q38:Q42)/CS9)</f>
        <v>7.7935001821867562</v>
      </c>
    </row>
    <row r="74" spans="1:106" x14ac:dyDescent="0.3">
      <c r="CX74" s="18" t="s">
        <v>83</v>
      </c>
      <c r="CY74" s="19"/>
      <c r="CZ74" s="19" t="s">
        <v>127</v>
      </c>
      <c r="DA74" s="20">
        <v>-0.01</v>
      </c>
      <c r="DB74" s="60">
        <f>(AVERAGE(CA43:CA52)*10^9)/(AVERAGE(Q43:Q52)/CS9)</f>
        <v>7.0047063174655895</v>
      </c>
    </row>
    <row r="75" spans="1:106" ht="15" thickBot="1" x14ac:dyDescent="0.35">
      <c r="CX75" s="21" t="s">
        <v>84</v>
      </c>
      <c r="CY75" s="22"/>
      <c r="CZ75" s="22" t="s">
        <v>127</v>
      </c>
      <c r="DA75" s="23">
        <v>-0.02</v>
      </c>
      <c r="DB75" s="61">
        <f>(AVERAGE(CA53:CA62)*10^9)/(AVERAGE(Q53:Q62)/CS9)</f>
        <v>5.723252868399836</v>
      </c>
    </row>
  </sheetData>
  <mergeCells count="2">
    <mergeCell ref="CR11:CV11"/>
    <mergeCell ref="CX11:DB11"/>
  </mergeCells>
  <phoneticPr fontId="7" type="noConversion"/>
  <conditionalFormatting sqref="CO22:CP62">
    <cfRule type="dataBar" priority="1">
      <dataBar>
        <cfvo type="min"/>
        <cfvo type="max"/>
        <color rgb="FF63C384"/>
      </dataBar>
      <extLst>
        <ext xmlns:x14="http://schemas.microsoft.com/office/spreadsheetml/2009/9/main" uri="{B025F937-C7B1-47D3-B67F-A62EFF666E3E}">
          <x14:id>{B0866FBA-EE9B-455A-B73A-17C0A6E95E1C}</x14:id>
        </ext>
      </extLst>
    </cfRule>
    <cfRule type="colorScale" priority="2">
      <colorScale>
        <cfvo type="min"/>
        <cfvo type="max"/>
        <color rgb="FFFCFCFF"/>
        <color rgb="FF63BE7B"/>
      </colorScale>
    </cfRule>
    <cfRule type="colorScale" priority="3">
      <colorScale>
        <cfvo type="min"/>
        <cfvo type="percentile" val="50"/>
        <cfvo type="max"/>
        <color rgb="FFF8696B"/>
        <color rgb="FFFCFCFF"/>
        <color rgb="FF5A8AC6"/>
      </colorScale>
    </cfRule>
  </conditionalFormatting>
  <hyperlinks>
    <hyperlink ref="DD10" r:id="rId1" display="https://www.nature.com/articles/s41612-021-00169-8" xr:uid="{F2E8C30C-DB48-4577-9836-8DC57A075BBB}"/>
  </hyperlinks>
  <pageMargins left="0.7" right="0.7" top="0.75" bottom="0.75" header="0.3" footer="0.3"/>
  <pageSetup orientation="portrait" r:id="rId2"/>
  <drawing r:id="rId3"/>
  <legacyDrawing r:id="rId4"/>
  <extLst>
    <ext xmlns:x14="http://schemas.microsoft.com/office/spreadsheetml/2009/9/main" uri="{78C0D931-6437-407d-A8EE-F0AAD7539E65}">
      <x14:conditionalFormattings>
        <x14:conditionalFormatting xmlns:xm="http://schemas.microsoft.com/office/excel/2006/main">
          <x14:cfRule type="dataBar" id="{B0866FBA-EE9B-455A-B73A-17C0A6E95E1C}">
            <x14:dataBar minLength="0" maxLength="100" border="1" negativeBarBorderColorSameAsPositive="0">
              <x14:cfvo type="autoMin"/>
              <x14:cfvo type="autoMax"/>
              <x14:borderColor rgb="FF63C384"/>
              <x14:negativeFillColor rgb="FFFF0000"/>
              <x14:negativeBorderColor rgb="FFFF0000"/>
              <x14:axisColor rgb="FF000000"/>
            </x14:dataBar>
          </x14:cfRule>
          <xm:sqref>CO22:CP62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GHG emissions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Place</dc:creator>
  <cp:lastModifiedBy>Sara Place</cp:lastModifiedBy>
  <dcterms:created xsi:type="dcterms:W3CDTF">2021-04-02T22:35:07Z</dcterms:created>
  <dcterms:modified xsi:type="dcterms:W3CDTF">2021-08-03T22:03:15Z</dcterms:modified>
</cp:coreProperties>
</file>